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Labor\03_Hard- und Software\Maturationsrechner\"/>
    </mc:Choice>
  </mc:AlternateContent>
  <xr:revisionPtr revIDLastSave="0" documentId="13_ncr:1_{E641F881-1A92-4C88-8841-E22008C00B63}" xr6:coauthVersionLast="47" xr6:coauthVersionMax="47" xr10:uidLastSave="{00000000-0000-0000-0000-000000000000}"/>
  <workbookProtection workbookAlgorithmName="SHA-512" workbookHashValue="5yRIBFtjWX5Pvr1SoMmzPP4bN5MOsEoWCnkWxF7uh/hxdVLBmtXwsw/bzPwVXNfQWY2kRmBrElOOwRGGgxvO7g==" workbookSaltValue="K29d/yZShz87Vfp89dcBBA==" workbookSpinCount="100000" lockStructure="1"/>
  <bookViews>
    <workbookView xWindow="-120" yWindow="-120" windowWidth="29040" windowHeight="17640" firstSheet="3" activeTab="3" xr2:uid="{0541C3B1-2447-48F0-9AD4-B2317038AE07}"/>
  </bookViews>
  <sheets>
    <sheet name="Backend" sheetId="1" state="hidden" r:id="rId1"/>
    <sheet name="Khamis &amp; Roche (1995)" sheetId="3" state="hidden" r:id="rId2"/>
    <sheet name="Sherar et al. (2005)" sheetId="5" state="hidden" r:id="rId3"/>
    <sheet name="Rechner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" i="1" l="1"/>
  <c r="H2" i="1"/>
  <c r="G2" i="1"/>
  <c r="E2" i="1"/>
  <c r="B2" i="1" l="1"/>
  <c r="A2" i="1"/>
  <c r="D2" i="1"/>
  <c r="C2" i="1"/>
  <c r="F2" i="1"/>
  <c r="I2" i="1" l="1"/>
  <c r="N2" i="1" s="1"/>
  <c r="AC2" i="1"/>
  <c r="J2" i="1"/>
  <c r="AB2" i="1"/>
  <c r="P2" i="1"/>
  <c r="L2" i="1" l="1"/>
  <c r="X2" i="1" s="1"/>
  <c r="Z2" i="1" s="1"/>
  <c r="Y2" i="1" s="1"/>
  <c r="N3" i="2" s="1"/>
  <c r="N6" i="2" s="1" a="1"/>
  <c r="N6" i="2" s="1"/>
  <c r="O2" i="1"/>
  <c r="K8" i="2"/>
  <c r="AD2" i="1"/>
  <c r="K11" i="2" s="1"/>
  <c r="M2" i="1"/>
  <c r="K2" i="1"/>
  <c r="V2" i="1" l="1"/>
  <c r="M3" i="2" s="1"/>
  <c r="M6" i="2" s="1" a="1"/>
  <c r="M6" i="2" s="1"/>
  <c r="T2" i="1"/>
  <c r="L3" i="2" s="1"/>
  <c r="L6" i="2" s="1" a="1"/>
  <c r="L6" i="2" s="1"/>
  <c r="Q2" i="1"/>
  <c r="S2" i="1" s="1"/>
  <c r="N4" i="2"/>
  <c r="N5" i="2" s="1"/>
  <c r="W2" i="1" l="1"/>
  <c r="M4" i="2" s="1"/>
  <c r="M5" i="2" s="1" a="1"/>
  <c r="M5" i="2" s="1"/>
  <c r="U2" i="1"/>
  <c r="L4" i="2" s="1"/>
  <c r="L5" i="2" s="1" a="1"/>
  <c r="L5" i="2" s="1"/>
  <c r="R2" i="1"/>
  <c r="K4" i="2" s="1"/>
  <c r="K3" i="2"/>
  <c r="K6" i="2" l="1" a="1"/>
  <c r="K6" i="2" s="1"/>
  <c r="K5" i="2"/>
  <c r="L11" i="2" s="1" a="1"/>
  <c r="L11" i="2" s="1"/>
  <c r="L13" i="2" s="1" a="1"/>
  <c r="L13" i="2" s="1"/>
  <c r="K12" i="2" l="1"/>
  <c r="K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<sst xmlns="http://schemas.openxmlformats.org/spreadsheetml/2006/main" count="91" uniqueCount="80">
  <si>
    <t>Geburtsdatum</t>
  </si>
  <si>
    <t>Zeitpunkt Messung</t>
  </si>
  <si>
    <t>Körpermasse [kg]</t>
  </si>
  <si>
    <t>Körperhöhe sitzend [cm]</t>
  </si>
  <si>
    <t>Körperhöhe stehend [cm]</t>
  </si>
  <si>
    <t>Alter [Jahre]</t>
  </si>
  <si>
    <t>Körperhöhe stehend Mutter [cm]</t>
  </si>
  <si>
    <t>Körperhöhe stehend Vater [cm]</t>
  </si>
  <si>
    <t>Geschlecht</t>
  </si>
  <si>
    <t>weiblich</t>
  </si>
  <si>
    <t>männlich</t>
  </si>
  <si>
    <t>Beinlänge [cm]</t>
  </si>
  <si>
    <t>leg_length_sitting_height_interaction</t>
  </si>
  <si>
    <t>age_height_interaction</t>
  </si>
  <si>
    <t>age_leg_length_interaction</t>
  </si>
  <si>
    <t>age_sitting_height_interaction</t>
  </si>
  <si>
    <t>weight_by_age_interaction</t>
  </si>
  <si>
    <t>weight_by_heights_ratio</t>
  </si>
  <si>
    <t>Mirwald_PHV</t>
  </si>
  <si>
    <t>Mirwald_APHV</t>
  </si>
  <si>
    <t>Moore1_PHV</t>
  </si>
  <si>
    <t>Moore1_APHV</t>
  </si>
  <si>
    <t>Fransen_ratio</t>
  </si>
  <si>
    <t>Fransen_PHV</t>
  </si>
  <si>
    <t>Fransen_APHV</t>
  </si>
  <si>
    <t>Körpermasse</t>
  </si>
  <si>
    <t>Körperhöhe (stehend)</t>
  </si>
  <si>
    <t>Körperhöhe (sitzend)</t>
  </si>
  <si>
    <t>Chronological
Age</t>
  </si>
  <si>
    <t>Po</t>
  </si>
  <si>
    <t>Stature
(in)</t>
  </si>
  <si>
    <t>Weight
(Ib)</t>
  </si>
  <si>
    <t>Midparent Stature
(in)</t>
  </si>
  <si>
    <t>Midparent Stature (in)</t>
  </si>
  <si>
    <t>males</t>
  </si>
  <si>
    <t>females</t>
  </si>
  <si>
    <t>body_mass_lb</t>
  </si>
  <si>
    <t>midparent_body_height_in</t>
  </si>
  <si>
    <t>body_height_in</t>
  </si>
  <si>
    <t>predicted_adult_body_height_lb</t>
  </si>
  <si>
    <t>Geschätze Erwachsenenkörperhöhe</t>
  </si>
  <si>
    <t>Moore2_PHV</t>
  </si>
  <si>
    <t>Moore2_APHV</t>
  </si>
  <si>
    <r>
      <rPr>
        <b/>
        <sz val="9.5"/>
        <rFont val="Arial"/>
        <family val="2"/>
      </rPr>
      <t>Years from PHV</t>
    </r>
  </si>
  <si>
    <r>
      <rPr>
        <b/>
        <sz val="9.5"/>
        <rFont val="Arial"/>
        <family val="2"/>
      </rPr>
      <t>Males</t>
    </r>
  </si>
  <si>
    <r>
      <rPr>
        <b/>
        <sz val="9.5"/>
        <rFont val="Arial"/>
        <family val="2"/>
      </rPr>
      <t>Females</t>
    </r>
  </si>
  <si>
    <r>
      <rPr>
        <b/>
        <sz val="9.5"/>
        <rFont val="Arial"/>
        <family val="2"/>
      </rPr>
      <t>Early</t>
    </r>
  </si>
  <si>
    <r>
      <rPr>
        <b/>
        <sz val="9.5"/>
        <rFont val="Arial"/>
        <family val="2"/>
      </rPr>
      <t>Average</t>
    </r>
  </si>
  <si>
    <r>
      <rPr>
        <b/>
        <sz val="9.5"/>
        <rFont val="Arial"/>
        <family val="2"/>
      </rPr>
      <t>Late</t>
    </r>
  </si>
  <si>
    <t>Klassifikation</t>
  </si>
  <si>
    <t>Mirwald_PHV_gerundet</t>
  </si>
  <si>
    <t>Bisher erreichte Erwachsenenkörperhöhe</t>
  </si>
  <si>
    <t>Körperhöhe Mutter</t>
  </si>
  <si>
    <t>Körperhöhe Vater</t>
  </si>
  <si>
    <t>Mirwald et al. (2002)</t>
  </si>
  <si>
    <t>APHV in Population</t>
  </si>
  <si>
    <t>Klassifikationsintervall</t>
  </si>
  <si>
    <t>Fransen et al. (2018)</t>
  </si>
  <si>
    <t>Moore et al. (2015) I</t>
  </si>
  <si>
    <t>Moore et al. (2015) II</t>
  </si>
  <si>
    <t>Khamis &amp; Roche (1995)</t>
  </si>
  <si>
    <t>Sherar et al. (2005)</t>
  </si>
  <si>
    <t>Carl von Ossietzky Universität Oldenburg</t>
  </si>
  <si>
    <t>Fakultät IV - Human- und Gesellschaftswissenschaften</t>
  </si>
  <si>
    <t>Institut für Sportwissenschaft</t>
  </si>
  <si>
    <t xml:space="preserve">Abteilung Sport und Training </t>
  </si>
  <si>
    <t>Datum Messung</t>
  </si>
  <si>
    <t>Dr. Lutz Thieschäfer</t>
  </si>
  <si>
    <t>Biologisches Alter</t>
  </si>
  <si>
    <t>PHV</t>
  </si>
  <si>
    <t>APHV</t>
  </si>
  <si>
    <t>Abkürzungen: PHV = peak heigth velocity (Abstand zum Zeitpunkt der maximalen Wachstumsrate); APHV = age at peak height velocity (Alter zum Zeitpunkt der maximalen Wachstumsrate)</t>
  </si>
  <si>
    <t>Khamis, H. J., &amp; Roche, A. F. (1994). Predicting adult stature without using skeletal age: The Khamis-Roche method. Pediatrics, 94(4), 504–507. https://doi.org/10.1542/peds.94.4.504</t>
  </si>
  <si>
    <t>Khamis, H. J., &amp; Roche, A. F. (1995). Erratum. Pediatrics, 95(3), 457. https://doi.org/10.1542/peds.95.3.457</t>
  </si>
  <si>
    <t>Mirwald, R. L., Baxter-Jones, A. D. G., Bailey, D. A., &amp; Beunen, G. P. (2002). An assessment of maturity from anthropometric measurements. Medicine and Science in Sports and Exercise, 34(4), 689–694. https://doi.org/10.1097/00005768-200204000-00020</t>
  </si>
  <si>
    <t>Sherar, L. B., Mirwald, R. L., Baxter-Jones, A. D. G., &amp; Thomis, M. (2005). Prediction of adult height using maturity-based cumulative height velocity curves. The Journal of Pediatrics, 147(4), 508–514. https://doi.org/10.1016/j.jpeds.2005.04.041</t>
  </si>
  <si>
    <t>Chronologisches Alter</t>
  </si>
  <si>
    <t>Fransen, J., Bush, S., Woodcock, S., Novak, A., Deprez, D., Baxter-Jones, A. D. G., Vaeyens, R., &amp; Lenoir, M. (2018). Improving the prediction of maturity from anthropometric variables using a maturity ratio. Pediatric Exercise Science, 30(2), 296–307. https://doi.org/10.1123/pes.2017-0009</t>
  </si>
  <si>
    <t>Moore, S. A., McKay, H. A., MacDonald, H., Nettlefold, L., Baxter-Jones, A. D. G., Cameron, N., &amp; Brasher, P. M. A. (2015). Enhancing a somatic maturity prediction model. Medicine and Science in Sports and Exercise, 47(8), 1755–1764. https://doi.org/10.1249/MSS.0000000000000588</t>
  </si>
  <si>
    <t>Stand: 07.03.2025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</si>
</sst>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\ &quot;cm&quot;"/>
    <numFmt numFmtId="165" formatCode="0.0\ &quot;kg&quot;"/>
    <numFmt numFmtId="166" formatCode="0.0"/>
    <numFmt numFmtId="167" formatCode="0.0\ &quot;%&quot;"/>
    <numFmt numFmtId="168" formatCode="0.0\ &quot;Jahre&quot;"/>
    <numFmt numFmtId="169" formatCode="0.00\ &quot;Jahre&quot;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Nunito Sans"/>
    </font>
    <font>
      <b/>
      <sz val="9.5"/>
      <color rgb="FF000000"/>
      <name val="Arial"/>
      <family val="2"/>
    </font>
    <font>
      <b/>
      <sz val="9.5"/>
      <name val="Arial"/>
      <family val="2"/>
    </font>
    <font>
      <sz val="8.5"/>
      <color rgb="FF000000"/>
      <name val="Arial Unicode MS"/>
      <family val="2"/>
    </font>
    <font>
      <b/>
      <sz val="11"/>
      <color theme="1"/>
      <name val="Nunito Sans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7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166" fontId="4" fillId="0" borderId="2" xfId="0" applyNumberFormat="1" applyFont="1" applyBorder="1" applyAlignment="1">
      <alignment horizontal="right" vertical="center" wrapText="1" indent="12"/>
    </xf>
    <xf numFmtId="2" fontId="4" fillId="0" borderId="2" xfId="0" applyNumberFormat="1" applyFont="1" applyBorder="1" applyAlignment="1">
      <alignment horizontal="right" vertical="center" wrapText="1" indent="4"/>
    </xf>
    <xf numFmtId="2" fontId="4" fillId="0" borderId="2" xfId="0" applyNumberFormat="1" applyFont="1" applyBorder="1" applyAlignment="1">
      <alignment horizontal="right" vertical="center" wrapText="1" indent="6"/>
    </xf>
    <xf numFmtId="2" fontId="4" fillId="0" borderId="2" xfId="0" applyNumberFormat="1" applyFont="1" applyBorder="1" applyAlignment="1">
      <alignment horizontal="right" vertical="center" wrapText="1" indent="7"/>
    </xf>
    <xf numFmtId="2" fontId="4" fillId="0" borderId="2" xfId="0" applyNumberFormat="1" applyFont="1" applyBorder="1" applyAlignment="1">
      <alignment horizontal="right" vertical="center" wrapText="1" indent="5"/>
    </xf>
    <xf numFmtId="2" fontId="4" fillId="0" borderId="2" xfId="0" applyNumberFormat="1" applyFont="1" applyBorder="1" applyAlignment="1">
      <alignment horizontal="right" vertical="center" wrapText="1"/>
    </xf>
    <xf numFmtId="166" fontId="4" fillId="0" borderId="0" xfId="0" applyNumberFormat="1" applyFont="1" applyAlignment="1">
      <alignment horizontal="right" vertical="center" wrapText="1" indent="12"/>
    </xf>
    <xf numFmtId="2" fontId="4" fillId="0" borderId="0" xfId="0" applyNumberFormat="1" applyFont="1" applyAlignment="1">
      <alignment horizontal="right" vertical="center" wrapText="1" indent="4"/>
    </xf>
    <xf numFmtId="2" fontId="4" fillId="0" borderId="0" xfId="0" applyNumberFormat="1" applyFont="1" applyAlignment="1">
      <alignment horizontal="right" vertical="center" wrapText="1" indent="6"/>
    </xf>
    <xf numFmtId="2" fontId="4" fillId="0" borderId="0" xfId="0" applyNumberFormat="1" applyFont="1" applyAlignment="1">
      <alignment horizontal="right" vertical="center" wrapText="1" indent="7"/>
    </xf>
    <xf numFmtId="2" fontId="4" fillId="0" borderId="0" xfId="0" applyNumberFormat="1" applyFont="1" applyAlignment="1">
      <alignment horizontal="right" vertical="center" wrapText="1" indent="5"/>
    </xf>
    <xf numFmtId="2" fontId="4" fillId="0" borderId="0" xfId="0" applyNumberFormat="1" applyFont="1" applyAlignment="1">
      <alignment horizontal="right" vertical="center" wrapText="1"/>
    </xf>
    <xf numFmtId="166" fontId="4" fillId="0" borderId="1" xfId="0" applyNumberFormat="1" applyFont="1" applyBorder="1" applyAlignment="1">
      <alignment horizontal="right" vertical="center" wrapText="1" indent="12"/>
    </xf>
    <xf numFmtId="2" fontId="4" fillId="0" borderId="1" xfId="0" applyNumberFormat="1" applyFont="1" applyBorder="1" applyAlignment="1">
      <alignment horizontal="right" vertical="center" wrapText="1" indent="4"/>
    </xf>
    <xf numFmtId="2" fontId="4" fillId="0" borderId="1" xfId="0" applyNumberFormat="1" applyFont="1" applyBorder="1" applyAlignment="1">
      <alignment horizontal="right" vertical="center" wrapText="1" indent="6"/>
    </xf>
    <xf numFmtId="2" fontId="4" fillId="0" borderId="1" xfId="0" applyNumberFormat="1" applyFont="1" applyBorder="1" applyAlignment="1">
      <alignment horizontal="right" vertical="center" wrapText="1" indent="7"/>
    </xf>
    <xf numFmtId="2" fontId="4" fillId="0" borderId="1" xfId="0" applyNumberFormat="1" applyFont="1" applyBorder="1" applyAlignment="1">
      <alignment horizontal="right" vertical="center" wrapText="1" indent="5"/>
    </xf>
    <xf numFmtId="2" fontId="4" fillId="0" borderId="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165" fontId="1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168" fontId="1" fillId="0" borderId="0" xfId="0" applyNumberFormat="1" applyFont="1" applyAlignment="1" applyProtection="1">
      <alignment horizontal="center" vertical="center"/>
      <protection locked="0"/>
    </xf>
    <xf numFmtId="167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2" fontId="1" fillId="0" borderId="0" xfId="0" applyNumberFormat="1" applyFont="1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horizontal="right"/>
    </xf>
    <xf numFmtId="169" fontId="1" fillId="0" borderId="0" xfId="0" applyNumberFormat="1" applyFont="1" applyAlignment="1">
      <alignment horizontal="center" vertical="center"/>
    </xf>
    <xf numFmtId="169" fontId="1" fillId="0" borderId="0" xfId="0" applyNumberFormat="1" applyFont="1" applyAlignment="1">
      <alignment horizontal="center"/>
    </xf>
    <xf numFmtId="0" fontId="6" fillId="0" borderId="0" xfId="1" applyAlignment="1">
      <alignment vertical="center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6" fillId="0" borderId="0" xfId="1" applyAlignment="1">
      <alignment vertical="center" wrapText="1"/>
    </xf>
    <xf numFmtId="0" fontId="1" fillId="0" borderId="0" xfId="0" applyFont="1" applyAlignment="1">
      <alignment horizontal="center" vertical="center"/>
    </xf>
    <xf numFmtId="168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167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3E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537453</xdr:colOff>
      <xdr:row>0</xdr:row>
      <xdr:rowOff>361747</xdr:rowOff>
    </xdr:from>
    <xdr:to>
      <xdr:col>6</xdr:col>
      <xdr:colOff>156453</xdr:colOff>
      <xdr:row>9</xdr:row>
      <xdr:rowOff>152197</xdr:rowOff>
    </xdr:to>
    <xdr:sp macro="" textlink="">
      <xdr:nvSpPr>
        <xdr:cNvPr id="4" name="Rechteck: abgerundete Ecken 3">
          <a:extLst>
            <a:ext uri="{FF2B5EF4-FFF2-40B4-BE49-F238E27FC236}">
              <a16:creationId xmlns:a16="http://schemas.microsoft.com/office/drawing/2014/main" id="{036400DA-3B0C-75B5-6143-3983CB32A80A}"/>
            </a:ext>
          </a:extLst>
        </xdr:cNvPr>
        <xdr:cNvSpPr/>
      </xdr:nvSpPr>
      <xdr:spPr>
        <a:xfrm>
          <a:off x="537453" y="361747"/>
          <a:ext cx="4861891" cy="2382907"/>
        </a:xfrm>
        <a:prstGeom prst="roundRect">
          <a:avLst>
            <a:gd name="adj" fmla="val 9715"/>
          </a:avLst>
        </a:prstGeom>
        <a:noFill/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108857</xdr:colOff>
      <xdr:row>29</xdr:row>
      <xdr:rowOff>25439</xdr:rowOff>
    </xdr:from>
    <xdr:to>
      <xdr:col>5</xdr:col>
      <xdr:colOff>1129393</xdr:colOff>
      <xdr:row>33</xdr:row>
      <xdr:rowOff>148828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9CDBDC-1F92-AC76-62C7-15DCCE872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857" y="6679332"/>
          <a:ext cx="4245429" cy="939817"/>
        </a:xfrm>
        <a:prstGeom prst="rect">
          <a:avLst/>
        </a:prstGeom>
      </xdr:spPr>
    </xdr:pic>
    <xdr:clientData/>
  </xdr:twoCellAnchor>
  <xdr:twoCellAnchor>
    <xdr:from>
      <xdr:col>0</xdr:col>
      <xdr:colOff>537453</xdr:colOff>
      <xdr:row>0</xdr:row>
      <xdr:rowOff>361747</xdr:rowOff>
    </xdr:from>
    <xdr:to>
      <xdr:col>6</xdr:col>
      <xdr:colOff>156453</xdr:colOff>
      <xdr:row>0</xdr:row>
      <xdr:rowOff>741734</xdr:rowOff>
    </xdr:to>
    <xdr:sp macro="" textlink="">
      <xdr:nvSpPr>
        <xdr:cNvPr id="5" name="Rechteck: abgerundete Ecken 4">
          <a:extLst>
            <a:ext uri="{FF2B5EF4-FFF2-40B4-BE49-F238E27FC236}">
              <a16:creationId xmlns:a16="http://schemas.microsoft.com/office/drawing/2014/main" id="{A9754A9C-35CA-4350-A6F4-42DFE88972ED}"/>
            </a:ext>
          </a:extLst>
        </xdr:cNvPr>
        <xdr:cNvSpPr/>
      </xdr:nvSpPr>
      <xdr:spPr>
        <a:xfrm>
          <a:off x="537453" y="361747"/>
          <a:ext cx="4861891" cy="379987"/>
        </a:xfrm>
        <a:prstGeom prst="roundRect">
          <a:avLst/>
        </a:prstGeom>
        <a:solidFill>
          <a:srgbClr val="003E6B"/>
        </a:solidFill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Nunito Sans" panose="00000500000000000000" pitchFamily="2" charset="0"/>
            </a:rPr>
            <a:t>Eingabe</a:t>
          </a:r>
        </a:p>
      </xdr:txBody>
    </xdr:sp>
    <xdr:clientData/>
  </xdr:twoCellAnchor>
  <xdr:twoCellAnchor>
    <xdr:from>
      <xdr:col>0</xdr:col>
      <xdr:colOff>537453</xdr:colOff>
      <xdr:row>11</xdr:row>
      <xdr:rowOff>141431</xdr:rowOff>
    </xdr:from>
    <xdr:to>
      <xdr:col>6</xdr:col>
      <xdr:colOff>156453</xdr:colOff>
      <xdr:row>17</xdr:row>
      <xdr:rowOff>149087</xdr:rowOff>
    </xdr:to>
    <xdr:sp macro="" textlink="">
      <xdr:nvSpPr>
        <xdr:cNvPr id="6" name="Rechteck: abgerundete Ecken 5">
          <a:extLst>
            <a:ext uri="{FF2B5EF4-FFF2-40B4-BE49-F238E27FC236}">
              <a16:creationId xmlns:a16="http://schemas.microsoft.com/office/drawing/2014/main" id="{3F761165-00A5-4641-92FC-5829445FE832}"/>
            </a:ext>
          </a:extLst>
        </xdr:cNvPr>
        <xdr:cNvSpPr/>
      </xdr:nvSpPr>
      <xdr:spPr>
        <a:xfrm>
          <a:off x="537453" y="3148018"/>
          <a:ext cx="4861891" cy="1680743"/>
        </a:xfrm>
        <a:prstGeom prst="roundRect">
          <a:avLst/>
        </a:prstGeom>
        <a:noFill/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537453</xdr:colOff>
      <xdr:row>11</xdr:row>
      <xdr:rowOff>141430</xdr:rowOff>
    </xdr:from>
    <xdr:to>
      <xdr:col>6</xdr:col>
      <xdr:colOff>156453</xdr:colOff>
      <xdr:row>13</xdr:row>
      <xdr:rowOff>107287</xdr:rowOff>
    </xdr:to>
    <xdr:sp macro="" textlink="">
      <xdr:nvSpPr>
        <xdr:cNvPr id="7" name="Rechteck: abgerundete Ecken 6">
          <a:extLst>
            <a:ext uri="{FF2B5EF4-FFF2-40B4-BE49-F238E27FC236}">
              <a16:creationId xmlns:a16="http://schemas.microsoft.com/office/drawing/2014/main" id="{A4207A02-DF71-4443-B526-280C668252CE}"/>
            </a:ext>
          </a:extLst>
        </xdr:cNvPr>
        <xdr:cNvSpPr/>
      </xdr:nvSpPr>
      <xdr:spPr>
        <a:xfrm>
          <a:off x="537453" y="3121394"/>
          <a:ext cx="4857750" cy="374072"/>
        </a:xfrm>
        <a:prstGeom prst="roundRect">
          <a:avLst/>
        </a:prstGeom>
        <a:solidFill>
          <a:srgbClr val="003E6B"/>
        </a:solidFill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Nunito Sans" panose="00000500000000000000" pitchFamily="2" charset="0"/>
            </a:rPr>
            <a:t>Einstellungen</a:t>
          </a:r>
        </a:p>
      </xdr:txBody>
    </xdr:sp>
    <xdr:clientData/>
  </xdr:twoCellAnchor>
  <xdr:twoCellAnchor>
    <xdr:from>
      <xdr:col>7</xdr:col>
      <xdr:colOff>204107</xdr:colOff>
      <xdr:row>0</xdr:row>
      <xdr:rowOff>361747</xdr:rowOff>
    </xdr:from>
    <xdr:to>
      <xdr:col>14</xdr:col>
      <xdr:colOff>149678</xdr:colOff>
      <xdr:row>17</xdr:row>
      <xdr:rowOff>149679</xdr:rowOff>
    </xdr:to>
    <xdr:sp macro="" textlink="">
      <xdr:nvSpPr>
        <xdr:cNvPr id="8" name="Rechteck: abgerundete Ecken 7">
          <a:extLst>
            <a:ext uri="{FF2B5EF4-FFF2-40B4-BE49-F238E27FC236}">
              <a16:creationId xmlns:a16="http://schemas.microsoft.com/office/drawing/2014/main" id="{77F1EF28-2AFB-459D-9FD1-28031F59EF1B}"/>
            </a:ext>
          </a:extLst>
        </xdr:cNvPr>
        <xdr:cNvSpPr/>
      </xdr:nvSpPr>
      <xdr:spPr>
        <a:xfrm>
          <a:off x="5891893" y="361747"/>
          <a:ext cx="9824356" cy="3992539"/>
        </a:xfrm>
        <a:prstGeom prst="roundRect">
          <a:avLst>
            <a:gd name="adj" fmla="val 4716"/>
          </a:avLst>
        </a:prstGeom>
        <a:noFill/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7</xdr:col>
      <xdr:colOff>202303</xdr:colOff>
      <xdr:row>0</xdr:row>
      <xdr:rowOff>361747</xdr:rowOff>
    </xdr:from>
    <xdr:to>
      <xdr:col>14</xdr:col>
      <xdr:colOff>149662</xdr:colOff>
      <xdr:row>0</xdr:row>
      <xdr:rowOff>753686</xdr:rowOff>
    </xdr:to>
    <xdr:sp macro="" textlink="">
      <xdr:nvSpPr>
        <xdr:cNvPr id="9" name="Rechteck: abgerundete Ecken 8">
          <a:extLst>
            <a:ext uri="{FF2B5EF4-FFF2-40B4-BE49-F238E27FC236}">
              <a16:creationId xmlns:a16="http://schemas.microsoft.com/office/drawing/2014/main" id="{368E84A2-6121-4AB1-BB84-9A5B0FC02C90}"/>
            </a:ext>
          </a:extLst>
        </xdr:cNvPr>
        <xdr:cNvSpPr/>
      </xdr:nvSpPr>
      <xdr:spPr>
        <a:xfrm>
          <a:off x="5890089" y="361747"/>
          <a:ext cx="9826144" cy="391939"/>
        </a:xfrm>
        <a:prstGeom prst="roundRect">
          <a:avLst/>
        </a:prstGeom>
        <a:solidFill>
          <a:srgbClr val="003E6B"/>
        </a:solidFill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Nunito Sans" panose="00000500000000000000" pitchFamily="2" charset="0"/>
            </a:rPr>
            <a:t>Ausgabe</a:t>
          </a:r>
        </a:p>
      </xdr:txBody>
    </xdr:sp>
    <xdr:clientData/>
  </xdr:twoCellAnchor>
  <xdr:twoCellAnchor>
    <xdr:from>
      <xdr:col>0</xdr:col>
      <xdr:colOff>537453</xdr:colOff>
      <xdr:row>20</xdr:row>
      <xdr:rowOff>4768</xdr:rowOff>
    </xdr:from>
    <xdr:to>
      <xdr:col>6</xdr:col>
      <xdr:colOff>156453</xdr:colOff>
      <xdr:row>34</xdr:row>
      <xdr:rowOff>163285</xdr:rowOff>
    </xdr:to>
    <xdr:sp macro="" textlink="">
      <xdr:nvSpPr>
        <xdr:cNvPr id="11" name="Rechteck: abgerundete Ecken 10">
          <a:extLst>
            <a:ext uri="{FF2B5EF4-FFF2-40B4-BE49-F238E27FC236}">
              <a16:creationId xmlns:a16="http://schemas.microsoft.com/office/drawing/2014/main" id="{E1E01C9D-4D9C-400B-BD64-E0B357A72196}"/>
            </a:ext>
          </a:extLst>
        </xdr:cNvPr>
        <xdr:cNvSpPr/>
      </xdr:nvSpPr>
      <xdr:spPr>
        <a:xfrm>
          <a:off x="537453" y="4821697"/>
          <a:ext cx="4857750" cy="3016017"/>
        </a:xfrm>
        <a:prstGeom prst="roundRect">
          <a:avLst>
            <a:gd name="adj" fmla="val 4486"/>
          </a:avLst>
        </a:prstGeom>
        <a:noFill/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537453</xdr:colOff>
      <xdr:row>20</xdr:row>
      <xdr:rowOff>4767</xdr:rowOff>
    </xdr:from>
    <xdr:to>
      <xdr:col>6</xdr:col>
      <xdr:colOff>156453</xdr:colOff>
      <xdr:row>21</xdr:row>
      <xdr:rowOff>174732</xdr:rowOff>
    </xdr:to>
    <xdr:sp macro="" textlink="">
      <xdr:nvSpPr>
        <xdr:cNvPr id="12" name="Rechteck: abgerundete Ecken 11">
          <a:extLst>
            <a:ext uri="{FF2B5EF4-FFF2-40B4-BE49-F238E27FC236}">
              <a16:creationId xmlns:a16="http://schemas.microsoft.com/office/drawing/2014/main" id="{CD720AC8-CEE6-419D-9C36-9A67A43B09AC}"/>
            </a:ext>
          </a:extLst>
        </xdr:cNvPr>
        <xdr:cNvSpPr/>
      </xdr:nvSpPr>
      <xdr:spPr>
        <a:xfrm>
          <a:off x="537453" y="4821696"/>
          <a:ext cx="4857750" cy="374072"/>
        </a:xfrm>
        <a:prstGeom prst="roundRect">
          <a:avLst/>
        </a:prstGeom>
        <a:solidFill>
          <a:srgbClr val="003E6B"/>
        </a:solidFill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Nunito Sans" panose="00000500000000000000" pitchFamily="2" charset="0"/>
            </a:rPr>
            <a:t>Autor</a:t>
          </a:r>
        </a:p>
      </xdr:txBody>
    </xdr:sp>
    <xdr:clientData/>
  </xdr:twoCellAnchor>
  <xdr:twoCellAnchor>
    <xdr:from>
      <xdr:col>7</xdr:col>
      <xdr:colOff>202303</xdr:colOff>
      <xdr:row>20</xdr:row>
      <xdr:rowOff>4768</xdr:rowOff>
    </xdr:from>
    <xdr:to>
      <xdr:col>14</xdr:col>
      <xdr:colOff>147874</xdr:colOff>
      <xdr:row>34</xdr:row>
      <xdr:rowOff>164068</xdr:rowOff>
    </xdr:to>
    <xdr:sp macro="" textlink="">
      <xdr:nvSpPr>
        <xdr:cNvPr id="13" name="Rechteck: abgerundete Ecken 12">
          <a:extLst>
            <a:ext uri="{FF2B5EF4-FFF2-40B4-BE49-F238E27FC236}">
              <a16:creationId xmlns:a16="http://schemas.microsoft.com/office/drawing/2014/main" id="{3C9DD0EB-93C4-4371-A50A-46245F649092}"/>
            </a:ext>
          </a:extLst>
        </xdr:cNvPr>
        <xdr:cNvSpPr/>
      </xdr:nvSpPr>
      <xdr:spPr>
        <a:xfrm>
          <a:off x="5890089" y="4821697"/>
          <a:ext cx="9824356" cy="3016800"/>
        </a:xfrm>
        <a:prstGeom prst="roundRect">
          <a:avLst>
            <a:gd name="adj" fmla="val 4716"/>
          </a:avLst>
        </a:prstGeom>
        <a:noFill/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7</xdr:col>
      <xdr:colOff>202303</xdr:colOff>
      <xdr:row>20</xdr:row>
      <xdr:rowOff>4767</xdr:rowOff>
    </xdr:from>
    <xdr:to>
      <xdr:col>14</xdr:col>
      <xdr:colOff>149662</xdr:colOff>
      <xdr:row>21</xdr:row>
      <xdr:rowOff>192599</xdr:rowOff>
    </xdr:to>
    <xdr:sp macro="" textlink="">
      <xdr:nvSpPr>
        <xdr:cNvPr id="14" name="Rechteck: abgerundete Ecken 13">
          <a:extLst>
            <a:ext uri="{FF2B5EF4-FFF2-40B4-BE49-F238E27FC236}">
              <a16:creationId xmlns:a16="http://schemas.microsoft.com/office/drawing/2014/main" id="{55A96240-168D-4DE5-BC55-9433F3C472F5}"/>
            </a:ext>
          </a:extLst>
        </xdr:cNvPr>
        <xdr:cNvSpPr/>
      </xdr:nvSpPr>
      <xdr:spPr>
        <a:xfrm>
          <a:off x="5890089" y="4821696"/>
          <a:ext cx="9826144" cy="391939"/>
        </a:xfrm>
        <a:prstGeom prst="roundRect">
          <a:avLst/>
        </a:prstGeom>
        <a:solidFill>
          <a:srgbClr val="003E6B"/>
        </a:solidFill>
        <a:ln>
          <a:solidFill>
            <a:srgbClr val="003E6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Nunito Sans" panose="00000500000000000000" pitchFamily="2" charset="0"/>
            </a:rPr>
            <a:t>Quellen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doi.org/10.1542/peds.95.3.457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doi.org/10.1542/peds.94.4.504" TargetMode="External"/><Relationship Id="rId1" Type="http://schemas.openxmlformats.org/officeDocument/2006/relationships/hyperlink" Target="https://doi.org/10.1123/pes.2017-0009" TargetMode="External"/><Relationship Id="rId6" Type="http://schemas.openxmlformats.org/officeDocument/2006/relationships/hyperlink" Target="https://doi.org/10.1016/j.jpeds.2005.04.041" TargetMode="External"/><Relationship Id="rId5" Type="http://schemas.openxmlformats.org/officeDocument/2006/relationships/hyperlink" Target="https://doi.org/10.1249/MSS.0000000000000588" TargetMode="External"/><Relationship Id="rId4" Type="http://schemas.openxmlformats.org/officeDocument/2006/relationships/hyperlink" Target="https://doi.org/10.1097/00005768-200204000-00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7F18F-F5AC-4BC3-BC7F-C91D811FB677}">
  <sheetPr codeName="Tabelle2"/>
  <dimension ref="A1:AD6"/>
  <sheetViews>
    <sheetView topLeftCell="H1" workbookViewId="0">
      <selection activeCell="AD2" sqref="AD2"/>
    </sheetView>
  </sheetViews>
  <sheetFormatPr baseColWidth="10" defaultRowHeight="15" x14ac:dyDescent="0.25"/>
  <sheetData>
    <row r="1" spans="1:30" x14ac:dyDescent="0.25">
      <c r="A1" t="s">
        <v>1</v>
      </c>
      <c r="B1" t="s">
        <v>0</v>
      </c>
      <c r="C1" t="s">
        <v>8</v>
      </c>
      <c r="D1" t="s">
        <v>4</v>
      </c>
      <c r="E1" t="s">
        <v>3</v>
      </c>
      <c r="F1" t="s">
        <v>2</v>
      </c>
      <c r="G1" t="s">
        <v>6</v>
      </c>
      <c r="H1" t="s">
        <v>7</v>
      </c>
      <c r="I1" t="s">
        <v>5</v>
      </c>
      <c r="J1" t="s">
        <v>11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  <c r="P1" t="s">
        <v>17</v>
      </c>
      <c r="Q1" t="s">
        <v>18</v>
      </c>
      <c r="R1" t="s">
        <v>19</v>
      </c>
      <c r="S1" t="s">
        <v>50</v>
      </c>
      <c r="T1" t="s">
        <v>20</v>
      </c>
      <c r="U1" t="s">
        <v>21</v>
      </c>
      <c r="V1" t="s">
        <v>41</v>
      </c>
      <c r="W1" t="s">
        <v>42</v>
      </c>
      <c r="X1" t="s">
        <v>22</v>
      </c>
      <c r="Y1" t="s">
        <v>23</v>
      </c>
      <c r="Z1" t="s">
        <v>24</v>
      </c>
      <c r="AA1" t="s">
        <v>37</v>
      </c>
      <c r="AB1" t="s">
        <v>38</v>
      </c>
      <c r="AC1" t="s">
        <v>36</v>
      </c>
      <c r="AD1" t="s">
        <v>39</v>
      </c>
    </row>
    <row r="2" spans="1:30" x14ac:dyDescent="0.25">
      <c r="A2" s="1">
        <f>Rechner!B3</f>
        <v>0</v>
      </c>
      <c r="B2" s="1">
        <f>Rechner!B6</f>
        <v>0</v>
      </c>
      <c r="C2" s="1" t="str">
        <f>Rechner!B9</f>
        <v>weiblich</v>
      </c>
      <c r="D2">
        <f>Rechner!D3</f>
        <v>0</v>
      </c>
      <c r="E2">
        <f>Rechner!D6</f>
        <v>0</v>
      </c>
      <c r="F2">
        <f>Rechner!D9</f>
        <v>0</v>
      </c>
      <c r="G2">
        <f>Rechner!F3</f>
        <v>0</v>
      </c>
      <c r="H2">
        <f>Rechner!F6</f>
        <v>0</v>
      </c>
      <c r="I2">
        <f>(A2-B2)/365.25</f>
        <v>0</v>
      </c>
      <c r="J2">
        <f>D2-E2</f>
        <v>0</v>
      </c>
      <c r="K2">
        <f>E2*J2</f>
        <v>0</v>
      </c>
      <c r="L2">
        <f>I2*D2</f>
        <v>0</v>
      </c>
      <c r="M2">
        <f>J2*I2</f>
        <v>0</v>
      </c>
      <c r="N2">
        <f>E2*I2</f>
        <v>0</v>
      </c>
      <c r="O2">
        <f>I2*F2</f>
        <v>0</v>
      </c>
      <c r="P2" t="e">
        <f>F2*100/D2</f>
        <v>#DIV/0!</v>
      </c>
      <c r="Q2" t="e">
        <f>IF(C2="männlich",-9.236+(0.0002708*K2)+(-0.001663*M2)+(0.007216*N2)+(0.02292*P2),-9.376+(0.0001882*K2)+(0.0022*M2)+(0.005841*N2)-(0.002658*O2)+(0.07693*P2))</f>
        <v>#DIV/0!</v>
      </c>
      <c r="R2" t="e">
        <f>I2-Q2</f>
        <v>#DIV/0!</v>
      </c>
      <c r="S2" t="e">
        <f>ROUND(IF(Q2&lt;0,MROUND(Q2*-1,0.2)*-1,MROUND(Q2,0.2)),1)</f>
        <v>#DIV/0!</v>
      </c>
      <c r="T2">
        <f>IF(C2="männlich",-8.128741+(0.0070346*N2),-7.709133+(0.0042232*L2))</f>
        <v>-7.7091329999999996</v>
      </c>
      <c r="U2">
        <f>I2-T2</f>
        <v>7.7091329999999996</v>
      </c>
      <c r="V2">
        <f>-7.999994+(0.0036124*L2)</f>
        <v>-7.999994</v>
      </c>
      <c r="W2">
        <f>I2-V2</f>
        <v>7.999994</v>
      </c>
      <c r="X2">
        <f>6.986547255416+(0.115802846632*I2)+(0.001450825199*(I2^2))+(0.004518400406*F2)-(0.000034086447*(F2^2))-(0.151951447289*D2)+(0.000932836659*(D2^2))-(0.000001656585*(D2^3))+(0.032198263733*J2)-(0.000269025264*(J2^2))-(0.000760897942*(L2))</f>
        <v>6.9865472554160002</v>
      </c>
      <c r="Y2">
        <f>I2-Z2</f>
        <v>0</v>
      </c>
      <c r="Z2">
        <f>I2/X2</f>
        <v>0</v>
      </c>
      <c r="AA2" t="e">
        <f>CONVERT(AVERAGE(Rechner!F3,Rechner!F6),"cm","in")</f>
        <v>#DIV/0!</v>
      </c>
      <c r="AB2">
        <f>CONVERT(D2,"cm","in")</f>
        <v>0</v>
      </c>
      <c r="AC2">
        <f>CONVERT(F2,"kg","lbm")</f>
        <v>0</v>
      </c>
      <c r="AD2" t="e">
        <f>IF(C2="männlich",_xlfn.XLOOKUP(MROUND(I2,0.5),'Khamis &amp; Roche (1995)'!A3:A30,'Khamis &amp; Roche (1995)'!B3:B30,"",0)+AB2*_xlfn.XLOOKUP(MROUND(I2,0.5),'Khamis &amp; Roche (1995)'!A3:A30,'Khamis &amp; Roche (1995)'!C3:C30,"",0)+AC2*_xlfn.XLOOKUP(MROUND(I2,0.5),'Khamis &amp; Roche (1995)'!A3:A30,'Khamis &amp; Roche (1995)'!D3:D30,"",0)+AA2*_xlfn.XLOOKUP(MROUND(I2,0.5),'Khamis &amp; Roche (1995)'!A3:A30,'Khamis &amp; Roche (1995)'!E3:E30,"",0),_xlfn.XLOOKUP(MROUND(I2,0.5),'Khamis &amp; Roche (1995)'!A3:A30,'Khamis &amp; Roche (1995)'!F3:F30,"",0)+AB2*_xlfn.XLOOKUP(MROUND(I2,0.5),'Khamis &amp; Roche (1995)'!A3:A30,'Khamis &amp; Roche (1995)'!G3:G30,"",0)+AC2*_xlfn.XLOOKUP(MROUND(I2,0.5),'Khamis &amp; Roche (1995)'!A3:A30,'Khamis &amp; Roche (1995)'!H3:H30,"",0)+AA2*_xlfn.XLOOKUP(MROUND(I2,0.5),'Khamis &amp; Roche (1995)'!A3:A30,'Khamis &amp; Roche (1995)'!I3:I30,"",0))</f>
        <v>#VALUE!</v>
      </c>
    </row>
    <row r="5" spans="1:30" x14ac:dyDescent="0.25">
      <c r="A5" t="s">
        <v>9</v>
      </c>
    </row>
    <row r="6" spans="1:30" x14ac:dyDescent="0.25">
      <c r="A6" t="s"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A83DE-7576-4A71-BF87-84F4EA345435}">
  <dimension ref="A1:I30"/>
  <sheetViews>
    <sheetView workbookViewId="0">
      <selection activeCell="S3" sqref="S3"/>
    </sheetView>
  </sheetViews>
  <sheetFormatPr baseColWidth="10" defaultRowHeight="15" x14ac:dyDescent="0.25"/>
  <sheetData>
    <row r="1" spans="1:9" x14ac:dyDescent="0.25">
      <c r="B1" s="47" t="s">
        <v>34</v>
      </c>
      <c r="C1" s="47"/>
      <c r="D1" s="47"/>
      <c r="E1" s="47"/>
      <c r="F1" s="47" t="s">
        <v>35</v>
      </c>
      <c r="G1" s="47"/>
      <c r="H1" s="47"/>
      <c r="I1" s="47"/>
    </row>
    <row r="2" spans="1:9" x14ac:dyDescent="0.25">
      <c r="A2" t="s">
        <v>28</v>
      </c>
      <c r="B2" t="s">
        <v>29</v>
      </c>
      <c r="C2" t="s">
        <v>30</v>
      </c>
      <c r="D2" t="s">
        <v>31</v>
      </c>
      <c r="E2" t="s">
        <v>32</v>
      </c>
      <c r="F2" t="s">
        <v>29</v>
      </c>
      <c r="G2" t="s">
        <v>30</v>
      </c>
      <c r="H2" t="s">
        <v>31</v>
      </c>
      <c r="I2" t="s">
        <v>33</v>
      </c>
    </row>
    <row r="3" spans="1:9" x14ac:dyDescent="0.25">
      <c r="A3">
        <v>4</v>
      </c>
      <c r="B3">
        <v>-10.2567</v>
      </c>
      <c r="C3">
        <v>1.2381200000000001</v>
      </c>
      <c r="D3">
        <v>-8.7234999999999993E-2</v>
      </c>
      <c r="E3">
        <v>0.50285999999999997</v>
      </c>
      <c r="F3">
        <v>-8.1325000000000003</v>
      </c>
      <c r="G3">
        <v>1.2476799999999999</v>
      </c>
      <c r="H3">
        <v>-0.19434999999999999</v>
      </c>
      <c r="I3">
        <v>0.44774000000000003</v>
      </c>
    </row>
    <row r="4" spans="1:9" x14ac:dyDescent="0.25">
      <c r="A4">
        <v>4.5</v>
      </c>
      <c r="B4">
        <v>-10.718999999999999</v>
      </c>
      <c r="C4">
        <v>1.15964</v>
      </c>
      <c r="D4">
        <v>-7.4454000000000006E-2</v>
      </c>
      <c r="E4">
        <v>0.52886999999999995</v>
      </c>
      <c r="F4">
        <v>-6.4765600000000001</v>
      </c>
      <c r="G4">
        <v>1.22177</v>
      </c>
      <c r="H4">
        <v>-0.18518999999999999</v>
      </c>
      <c r="I4">
        <v>0.41381000000000001</v>
      </c>
    </row>
    <row r="5" spans="1:9" x14ac:dyDescent="0.25">
      <c r="A5">
        <v>5</v>
      </c>
      <c r="B5">
        <v>-11.0213</v>
      </c>
      <c r="C5">
        <v>1.1067400000000001</v>
      </c>
      <c r="D5">
        <v>-6.4778000000000002E-2</v>
      </c>
      <c r="E5">
        <v>0.53918999999999995</v>
      </c>
      <c r="F5">
        <v>-5.1358300000000003</v>
      </c>
      <c r="G5">
        <v>1.1993199999999999</v>
      </c>
      <c r="H5">
        <v>-0.17530000000000001</v>
      </c>
      <c r="I5">
        <v>0.38467000000000001</v>
      </c>
    </row>
    <row r="6" spans="1:9" x14ac:dyDescent="0.25">
      <c r="A6">
        <v>5.5</v>
      </c>
      <c r="B6">
        <v>-11.1556</v>
      </c>
      <c r="C6">
        <v>1.0748</v>
      </c>
      <c r="D6">
        <v>-5.7759999999999999E-2</v>
      </c>
      <c r="E6">
        <v>0.53691</v>
      </c>
      <c r="F6">
        <v>-4.1379099999999998</v>
      </c>
      <c r="G6">
        <v>1.1788000000000001</v>
      </c>
      <c r="H6">
        <v>-0.16483999999999999</v>
      </c>
      <c r="I6">
        <v>0.36038999999999999</v>
      </c>
    </row>
    <row r="7" spans="1:9" x14ac:dyDescent="0.25">
      <c r="A7">
        <v>6</v>
      </c>
      <c r="B7">
        <v>-11.113799999999999</v>
      </c>
      <c r="C7">
        <v>1.0592299999999999</v>
      </c>
      <c r="D7">
        <v>-5.2947000000000001E-2</v>
      </c>
      <c r="E7">
        <v>0.52512999999999999</v>
      </c>
      <c r="F7">
        <v>-3.5103900000000001</v>
      </c>
      <c r="G7">
        <v>1.15866</v>
      </c>
      <c r="H7">
        <v>-0.154</v>
      </c>
      <c r="I7">
        <v>0.34105000000000002</v>
      </c>
    </row>
    <row r="8" spans="1:9" x14ac:dyDescent="0.25">
      <c r="A8">
        <v>6.5</v>
      </c>
      <c r="B8">
        <v>-11.0221</v>
      </c>
      <c r="C8">
        <v>1.05542</v>
      </c>
      <c r="D8">
        <v>-4.9891999999999999E-2</v>
      </c>
      <c r="E8">
        <v>0.50692000000000004</v>
      </c>
      <c r="F8">
        <v>-3.1432199999999999</v>
      </c>
      <c r="G8">
        <v>1.13737</v>
      </c>
      <c r="H8">
        <v>-0.14294000000000001</v>
      </c>
      <c r="I8">
        <v>0.32672000000000001</v>
      </c>
    </row>
    <row r="9" spans="1:9" x14ac:dyDescent="0.25">
      <c r="A9">
        <v>7</v>
      </c>
      <c r="B9">
        <v>-10.9984</v>
      </c>
      <c r="C9">
        <v>1.05877</v>
      </c>
      <c r="D9">
        <v>-4.8143999999999999E-2</v>
      </c>
      <c r="E9">
        <v>0.48537999999999998</v>
      </c>
      <c r="F9">
        <v>-2.8764500000000002</v>
      </c>
      <c r="G9">
        <v>1.1134200000000001</v>
      </c>
      <c r="H9">
        <v>-0.13184000000000001</v>
      </c>
      <c r="I9">
        <v>0.31747999999999998</v>
      </c>
    </row>
    <row r="10" spans="1:9" x14ac:dyDescent="0.25">
      <c r="A10">
        <v>7.5</v>
      </c>
      <c r="B10">
        <v>-11.0214</v>
      </c>
      <c r="C10">
        <v>1.06467</v>
      </c>
      <c r="D10">
        <v>-4.7255999999999999E-2</v>
      </c>
      <c r="E10">
        <v>0.46361000000000002</v>
      </c>
      <c r="F10">
        <v>-2.6629100000000001</v>
      </c>
      <c r="G10">
        <v>1.08525</v>
      </c>
      <c r="H10">
        <v>-0.12086</v>
      </c>
      <c r="I10">
        <v>0.31340000000000001</v>
      </c>
    </row>
    <row r="11" spans="1:9" x14ac:dyDescent="0.25">
      <c r="A11">
        <v>8</v>
      </c>
      <c r="B11">
        <v>-11.069599999999999</v>
      </c>
      <c r="C11">
        <v>1.06853</v>
      </c>
      <c r="D11">
        <v>-4.6778E-2</v>
      </c>
      <c r="E11">
        <v>0.44468999999999997</v>
      </c>
      <c r="F11">
        <v>-2.4555899999999999</v>
      </c>
      <c r="G11">
        <v>1.05135</v>
      </c>
      <c r="H11">
        <v>-0.11019</v>
      </c>
      <c r="I11">
        <v>0.31457000000000002</v>
      </c>
    </row>
    <row r="12" spans="1:9" x14ac:dyDescent="0.25">
      <c r="A12">
        <v>8.5</v>
      </c>
      <c r="B12">
        <v>-11.122</v>
      </c>
      <c r="C12">
        <v>1.06572</v>
      </c>
      <c r="D12">
        <v>-4.6260999999999997E-2</v>
      </c>
      <c r="E12">
        <v>0.43170999999999998</v>
      </c>
      <c r="F12">
        <v>-2.2072799999999999</v>
      </c>
      <c r="G12">
        <v>1.0101800000000001</v>
      </c>
      <c r="H12">
        <v>-9.9989999999999996E-2</v>
      </c>
      <c r="I12">
        <v>0.32105</v>
      </c>
    </row>
    <row r="13" spans="1:9" x14ac:dyDescent="0.25">
      <c r="A13">
        <v>9</v>
      </c>
      <c r="B13">
        <v>-11.1571</v>
      </c>
      <c r="C13">
        <v>1.05166</v>
      </c>
      <c r="D13">
        <v>-4.5254000000000003E-2</v>
      </c>
      <c r="E13">
        <v>0.42775999999999997</v>
      </c>
      <c r="F13">
        <v>-1.8709800000000001</v>
      </c>
      <c r="G13">
        <v>0.96020000000000005</v>
      </c>
      <c r="H13">
        <v>-9.0440000000000006E-2</v>
      </c>
      <c r="I13">
        <v>0.33290999999999998</v>
      </c>
    </row>
    <row r="14" spans="1:9" x14ac:dyDescent="0.25">
      <c r="A14">
        <v>9.5</v>
      </c>
      <c r="B14">
        <v>-11.140499999999999</v>
      </c>
      <c r="C14">
        <v>1.0217400000000001</v>
      </c>
      <c r="D14">
        <v>-4.3311000000000002E-2</v>
      </c>
      <c r="E14">
        <v>0.43592999999999998</v>
      </c>
      <c r="F14">
        <v>-1.0632999999999999</v>
      </c>
      <c r="G14">
        <v>0.89988999999999997</v>
      </c>
      <c r="H14">
        <v>-8.1710000000000005E-2</v>
      </c>
      <c r="I14">
        <v>0.35025000000000001</v>
      </c>
    </row>
    <row r="15" spans="1:9" x14ac:dyDescent="0.25">
      <c r="A15">
        <v>10</v>
      </c>
      <c r="B15">
        <v>-11.038</v>
      </c>
      <c r="C15">
        <v>0.97135000000000005</v>
      </c>
      <c r="D15">
        <v>-3.9981000000000003E-2</v>
      </c>
      <c r="E15">
        <v>0.45932000000000001</v>
      </c>
      <c r="F15">
        <v>0.33467999999999998</v>
      </c>
      <c r="G15">
        <v>0.82770999999999995</v>
      </c>
      <c r="H15">
        <v>-7.3969999999999994E-2</v>
      </c>
      <c r="I15">
        <v>0.37312000000000001</v>
      </c>
    </row>
    <row r="16" spans="1:9" x14ac:dyDescent="0.25">
      <c r="A16">
        <v>10.5</v>
      </c>
      <c r="B16">
        <v>-10.8286</v>
      </c>
      <c r="C16">
        <v>0.89588999999999996</v>
      </c>
      <c r="D16">
        <v>-3.4813999999999998E-2</v>
      </c>
      <c r="E16">
        <v>0.50100999999999996</v>
      </c>
      <c r="F16">
        <v>1.97366</v>
      </c>
      <c r="G16">
        <v>0.74212999999999996</v>
      </c>
      <c r="H16">
        <v>-6.7390000000000005E-2</v>
      </c>
      <c r="I16">
        <v>0.40161000000000002</v>
      </c>
    </row>
    <row r="17" spans="1:9" x14ac:dyDescent="0.25">
      <c r="A17">
        <v>11</v>
      </c>
      <c r="B17">
        <v>-10.4917</v>
      </c>
      <c r="C17">
        <v>0.81238999999999995</v>
      </c>
      <c r="D17">
        <v>-2.9049999999999999E-2</v>
      </c>
      <c r="E17">
        <v>0.54781000000000002</v>
      </c>
      <c r="F17">
        <v>3.5043600000000001</v>
      </c>
      <c r="G17">
        <v>0.67173000000000005</v>
      </c>
      <c r="H17">
        <v>-6.1359999999999998E-2</v>
      </c>
      <c r="I17">
        <v>0.42042000000000002</v>
      </c>
    </row>
    <row r="18" spans="1:9" x14ac:dyDescent="0.25">
      <c r="A18">
        <v>11.5</v>
      </c>
      <c r="B18">
        <v>-10.006500000000001</v>
      </c>
      <c r="C18">
        <v>0.74134</v>
      </c>
      <c r="D18">
        <v>-2.4167000000000001E-2</v>
      </c>
      <c r="E18">
        <v>0.58409</v>
      </c>
      <c r="F18">
        <v>4.5774699999999999</v>
      </c>
      <c r="G18">
        <v>0.64149999999999996</v>
      </c>
      <c r="H18">
        <v>-5.518E-2</v>
      </c>
      <c r="I18">
        <v>0.41686000000000001</v>
      </c>
    </row>
    <row r="19" spans="1:9" x14ac:dyDescent="0.25">
      <c r="A19">
        <v>12</v>
      </c>
      <c r="B19">
        <v>-9.3521999999999998</v>
      </c>
      <c r="C19">
        <v>0.68325000000000002</v>
      </c>
      <c r="D19">
        <v>-2.0076E-2</v>
      </c>
      <c r="E19">
        <v>0.60926999999999998</v>
      </c>
      <c r="F19">
        <v>4.8436500000000002</v>
      </c>
      <c r="G19">
        <v>0.64451999999999998</v>
      </c>
      <c r="H19">
        <v>-4.8939999999999997E-2</v>
      </c>
      <c r="I19">
        <v>0.39489999999999997</v>
      </c>
    </row>
    <row r="20" spans="1:9" x14ac:dyDescent="0.25">
      <c r="A20">
        <v>12.5</v>
      </c>
      <c r="B20">
        <v>-8.6054999999999993</v>
      </c>
      <c r="C20">
        <v>0.63868999999999998</v>
      </c>
      <c r="D20">
        <v>-1.6681000000000001E-2</v>
      </c>
      <c r="E20">
        <v>0.62278999999999995</v>
      </c>
      <c r="F20">
        <v>4.2786900000000001</v>
      </c>
      <c r="G20">
        <v>0.67386000000000001</v>
      </c>
      <c r="H20">
        <v>-4.2720000000000001E-2</v>
      </c>
      <c r="I20">
        <v>0.35849999999999999</v>
      </c>
    </row>
    <row r="21" spans="1:9" x14ac:dyDescent="0.25">
      <c r="A21">
        <v>13</v>
      </c>
      <c r="B21">
        <v>-7.8632</v>
      </c>
      <c r="C21">
        <v>0.60818000000000005</v>
      </c>
      <c r="D21">
        <v>-1.3894999999999999E-2</v>
      </c>
      <c r="E21">
        <v>0.62407000000000001</v>
      </c>
      <c r="F21">
        <v>3.2141700000000002</v>
      </c>
      <c r="G21">
        <v>0.72260000000000002</v>
      </c>
      <c r="H21">
        <v>-3.6609999999999997E-2</v>
      </c>
      <c r="I21">
        <v>0.31163000000000002</v>
      </c>
    </row>
    <row r="22" spans="1:9" x14ac:dyDescent="0.25">
      <c r="A22">
        <v>13.5</v>
      </c>
      <c r="B22">
        <v>-7.1348000000000003</v>
      </c>
      <c r="C22">
        <v>0.59228000000000003</v>
      </c>
      <c r="D22">
        <v>-1.1624000000000001E-2</v>
      </c>
      <c r="E22">
        <v>0.61253000000000002</v>
      </c>
      <c r="F22">
        <v>1.83456</v>
      </c>
      <c r="G22">
        <v>0.78383000000000003</v>
      </c>
      <c r="H22">
        <v>-3.0669999999999999E-2</v>
      </c>
      <c r="I22">
        <v>0.25825999999999999</v>
      </c>
    </row>
    <row r="23" spans="1:9" x14ac:dyDescent="0.25">
      <c r="A23">
        <v>14</v>
      </c>
      <c r="B23">
        <v>-6.4298999999999999</v>
      </c>
      <c r="C23">
        <v>0.59150999999999998</v>
      </c>
      <c r="D23">
        <v>-9.776E-3</v>
      </c>
      <c r="E23">
        <v>0.58762000000000003</v>
      </c>
      <c r="F23">
        <v>0.32424999999999998</v>
      </c>
      <c r="G23">
        <v>0.85062000000000004</v>
      </c>
      <c r="H23">
        <v>-2.5000000000000001E-2</v>
      </c>
      <c r="I23">
        <v>0.20235</v>
      </c>
    </row>
    <row r="24" spans="1:9" x14ac:dyDescent="0.25">
      <c r="A24">
        <v>14.5</v>
      </c>
      <c r="B24">
        <v>-5.7577999999999996</v>
      </c>
      <c r="C24">
        <v>0.60643000000000002</v>
      </c>
      <c r="D24">
        <v>-8.2609999999999992E-3</v>
      </c>
      <c r="E24">
        <v>0.54874999999999996</v>
      </c>
      <c r="F24">
        <v>-1.1322399999999999</v>
      </c>
      <c r="G24">
        <v>0.91605000000000003</v>
      </c>
      <c r="H24">
        <v>-1.967E-2</v>
      </c>
      <c r="I24">
        <v>0.14787</v>
      </c>
    </row>
    <row r="25" spans="1:9" x14ac:dyDescent="0.25">
      <c r="A25">
        <v>15</v>
      </c>
      <c r="B25">
        <v>-5.1281999999999996</v>
      </c>
      <c r="C25">
        <v>0.63756999999999997</v>
      </c>
      <c r="D25">
        <v>-6.9880000000000003E-3</v>
      </c>
      <c r="E25">
        <v>0.49536000000000002</v>
      </c>
      <c r="F25">
        <v>-2.3505500000000001</v>
      </c>
      <c r="G25">
        <v>0.97319</v>
      </c>
      <c r="H25">
        <v>-1.477E-2</v>
      </c>
      <c r="I25">
        <v>9.8799999999999999E-2</v>
      </c>
    </row>
    <row r="26" spans="1:9" x14ac:dyDescent="0.25">
      <c r="A26">
        <v>15.5</v>
      </c>
      <c r="B26">
        <v>-4.5091999999999999</v>
      </c>
      <c r="C26">
        <v>0.68547999999999998</v>
      </c>
      <c r="D26">
        <v>-5.8630000000000002E-3</v>
      </c>
      <c r="E26">
        <v>0.42687000000000003</v>
      </c>
      <c r="F26">
        <v>-3.1032600000000001</v>
      </c>
      <c r="G26">
        <v>1.0151399999999999</v>
      </c>
      <c r="H26">
        <v>-1.0370000000000001E-2</v>
      </c>
      <c r="I26">
        <v>5.9089999999999997E-2</v>
      </c>
    </row>
    <row r="27" spans="1:9" x14ac:dyDescent="0.25">
      <c r="A27">
        <v>16</v>
      </c>
      <c r="B27">
        <v>-3.9291999999999998</v>
      </c>
      <c r="C27">
        <v>0.75068999999999997</v>
      </c>
      <c r="D27">
        <v>-4.7949999999999998E-3</v>
      </c>
      <c r="E27">
        <v>0.34271000000000001</v>
      </c>
      <c r="F27">
        <v>-3.1788500000000002</v>
      </c>
      <c r="G27">
        <v>1.0349600000000001</v>
      </c>
      <c r="H27">
        <v>-6.5500000000000003E-3</v>
      </c>
      <c r="I27">
        <v>3.2719999999999999E-2</v>
      </c>
    </row>
    <row r="28" spans="1:9" x14ac:dyDescent="0.25">
      <c r="A28">
        <v>16.5</v>
      </c>
      <c r="B28">
        <v>-3.4872999999999998</v>
      </c>
      <c r="C28">
        <v>0.83374999999999999</v>
      </c>
      <c r="D28">
        <v>-3.6949999999999999E-3</v>
      </c>
      <c r="E28">
        <v>0.24231</v>
      </c>
      <c r="F28">
        <v>-2.4165700000000001</v>
      </c>
      <c r="G28">
        <v>1.02573</v>
      </c>
      <c r="H28">
        <v>-3.3999999999999998E-3</v>
      </c>
      <c r="I28">
        <v>2.3640000000000001E-2</v>
      </c>
    </row>
    <row r="29" spans="1:9" x14ac:dyDescent="0.25">
      <c r="A29">
        <v>17</v>
      </c>
      <c r="B29">
        <v>-3.2829999999999999</v>
      </c>
      <c r="C29">
        <v>0.93520000000000003</v>
      </c>
      <c r="D29">
        <v>-2.47E-3</v>
      </c>
      <c r="E29">
        <v>0.12509999999999999</v>
      </c>
      <c r="F29">
        <v>-0.65578999999999998</v>
      </c>
      <c r="G29">
        <v>0.98053999999999997</v>
      </c>
      <c r="H29">
        <v>-1E-3</v>
      </c>
      <c r="I29">
        <v>3.5839999999999997E-2</v>
      </c>
    </row>
    <row r="30" spans="1:9" x14ac:dyDescent="0.25">
      <c r="A30">
        <v>17.5</v>
      </c>
      <c r="B30">
        <v>-3.4156</v>
      </c>
      <c r="C30">
        <v>1.05558</v>
      </c>
      <c r="D30">
        <v>-1.0269999999999999E-3</v>
      </c>
      <c r="E30">
        <v>-9.4999999999999998E-3</v>
      </c>
      <c r="F30">
        <v>2.2642899999999999</v>
      </c>
      <c r="G30">
        <v>0.89246000000000003</v>
      </c>
      <c r="H30">
        <v>5.6999999999999998E-4</v>
      </c>
      <c r="I30">
        <v>7.3270000000000002E-2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0A129-8880-43B9-98EF-0D664F45CD12}">
  <dimension ref="A1:G43"/>
  <sheetViews>
    <sheetView topLeftCell="A4" workbookViewId="0">
      <selection activeCell="S3" sqref="S3"/>
    </sheetView>
  </sheetViews>
  <sheetFormatPr baseColWidth="10" defaultRowHeight="15" x14ac:dyDescent="0.25"/>
  <cols>
    <col min="1" max="1" width="22.28515625" customWidth="1"/>
    <col min="3" max="3" width="14.5703125" customWidth="1"/>
    <col min="4" max="4" width="15.7109375" customWidth="1"/>
  </cols>
  <sheetData>
    <row r="1" spans="1:7" x14ac:dyDescent="0.25">
      <c r="A1" s="48" t="s">
        <v>43</v>
      </c>
      <c r="B1" s="3"/>
      <c r="C1" s="4" t="s">
        <v>44</v>
      </c>
      <c r="D1" s="3"/>
      <c r="E1" s="3"/>
      <c r="F1" s="4" t="s">
        <v>45</v>
      </c>
      <c r="G1" s="3"/>
    </row>
    <row r="2" spans="1:7" x14ac:dyDescent="0.25">
      <c r="A2" s="48"/>
      <c r="B2" s="5" t="s">
        <v>46</v>
      </c>
      <c r="C2" s="6" t="s">
        <v>47</v>
      </c>
      <c r="D2" s="6" t="s">
        <v>48</v>
      </c>
      <c r="E2" s="5" t="s">
        <v>46</v>
      </c>
      <c r="F2" s="6" t="s">
        <v>47</v>
      </c>
      <c r="G2" s="7" t="s">
        <v>48</v>
      </c>
    </row>
    <row r="3" spans="1:7" x14ac:dyDescent="0.25">
      <c r="A3" s="8">
        <v>-4</v>
      </c>
      <c r="B3" s="9">
        <v>45.29</v>
      </c>
      <c r="C3" s="10">
        <v>40.090000000000003</v>
      </c>
      <c r="D3" s="11">
        <v>34.729999999999997</v>
      </c>
      <c r="E3" s="9">
        <v>42.61</v>
      </c>
      <c r="F3" s="12">
        <v>38.81</v>
      </c>
      <c r="G3" s="13">
        <v>34.35</v>
      </c>
    </row>
    <row r="4" spans="1:7" x14ac:dyDescent="0.25">
      <c r="A4" s="14">
        <v>-3.8</v>
      </c>
      <c r="B4" s="15">
        <v>44.21</v>
      </c>
      <c r="C4" s="16">
        <v>39.08</v>
      </c>
      <c r="D4" s="17">
        <v>33.83</v>
      </c>
      <c r="E4" s="15">
        <v>41.49</v>
      </c>
      <c r="F4" s="18">
        <v>37.67</v>
      </c>
      <c r="G4" s="19">
        <v>33.270000000000003</v>
      </c>
    </row>
    <row r="5" spans="1:7" x14ac:dyDescent="0.25">
      <c r="A5" s="14">
        <v>-3.6</v>
      </c>
      <c r="B5" s="15">
        <v>43.11</v>
      </c>
      <c r="C5" s="16">
        <v>38.07</v>
      </c>
      <c r="D5" s="17">
        <v>32.94</v>
      </c>
      <c r="E5" s="15">
        <v>40.39</v>
      </c>
      <c r="F5" s="18">
        <v>36.549999999999997</v>
      </c>
      <c r="G5" s="19">
        <v>32.200000000000003</v>
      </c>
    </row>
    <row r="6" spans="1:7" x14ac:dyDescent="0.25">
      <c r="A6" s="14">
        <v>-3.4</v>
      </c>
      <c r="B6" s="15">
        <v>41.99</v>
      </c>
      <c r="C6" s="16">
        <v>37.06</v>
      </c>
      <c r="D6" s="17">
        <v>32.049999999999997</v>
      </c>
      <c r="E6" s="15">
        <v>39.299999999999997</v>
      </c>
      <c r="F6" s="18">
        <v>35.44</v>
      </c>
      <c r="G6" s="19">
        <v>31.14</v>
      </c>
    </row>
    <row r="7" spans="1:7" x14ac:dyDescent="0.25">
      <c r="A7" s="14">
        <v>-3.2</v>
      </c>
      <c r="B7" s="15">
        <v>40.85</v>
      </c>
      <c r="C7" s="16">
        <v>36.049999999999997</v>
      </c>
      <c r="D7" s="17">
        <v>31.16</v>
      </c>
      <c r="E7" s="15">
        <v>38.21</v>
      </c>
      <c r="F7" s="18">
        <v>34.340000000000003</v>
      </c>
      <c r="G7" s="19">
        <v>30.09</v>
      </c>
    </row>
    <row r="8" spans="1:7" x14ac:dyDescent="0.25">
      <c r="A8" s="14">
        <v>-3</v>
      </c>
      <c r="B8" s="15">
        <v>39.69</v>
      </c>
      <c r="C8" s="16">
        <v>35.04</v>
      </c>
      <c r="D8" s="17">
        <v>30.27</v>
      </c>
      <c r="E8" s="15">
        <v>37.130000000000003</v>
      </c>
      <c r="F8" s="18">
        <v>33.25</v>
      </c>
      <c r="G8" s="19">
        <v>29.04</v>
      </c>
    </row>
    <row r="9" spans="1:7" x14ac:dyDescent="0.25">
      <c r="A9" s="14">
        <v>-2.8</v>
      </c>
      <c r="B9" s="15">
        <v>38.520000000000003</v>
      </c>
      <c r="C9" s="16">
        <v>34.04</v>
      </c>
      <c r="D9" s="17">
        <v>29.38</v>
      </c>
      <c r="E9" s="15">
        <v>36.04</v>
      </c>
      <c r="F9" s="18">
        <v>32.159999999999997</v>
      </c>
      <c r="G9" s="19">
        <v>27.99</v>
      </c>
    </row>
    <row r="10" spans="1:7" x14ac:dyDescent="0.25">
      <c r="A10" s="14">
        <v>-2.6</v>
      </c>
      <c r="B10" s="15">
        <v>37.33</v>
      </c>
      <c r="C10" s="16">
        <v>33.049999999999997</v>
      </c>
      <c r="D10" s="17">
        <v>28.49</v>
      </c>
      <c r="E10" s="15">
        <v>34.94</v>
      </c>
      <c r="F10" s="18">
        <v>31.04</v>
      </c>
      <c r="G10" s="19">
        <v>26.93</v>
      </c>
    </row>
    <row r="11" spans="1:7" x14ac:dyDescent="0.25">
      <c r="A11" s="14">
        <v>-2.4</v>
      </c>
      <c r="B11" s="15">
        <v>36.15</v>
      </c>
      <c r="C11" s="16">
        <v>32.06</v>
      </c>
      <c r="D11" s="17">
        <v>27.6</v>
      </c>
      <c r="E11" s="15">
        <v>33.82</v>
      </c>
      <c r="F11" s="18">
        <v>29.91</v>
      </c>
      <c r="G11" s="19">
        <v>25.87</v>
      </c>
    </row>
    <row r="12" spans="1:7" x14ac:dyDescent="0.25">
      <c r="A12" s="14">
        <v>-2.2000000000000002</v>
      </c>
      <c r="B12" s="15">
        <v>34.97</v>
      </c>
      <c r="C12" s="16">
        <v>31.07</v>
      </c>
      <c r="D12" s="17">
        <v>26.7</v>
      </c>
      <c r="E12" s="15">
        <v>32.68</v>
      </c>
      <c r="F12" s="18">
        <v>28.76</v>
      </c>
      <c r="G12" s="19">
        <v>24.79</v>
      </c>
    </row>
    <row r="13" spans="1:7" x14ac:dyDescent="0.25">
      <c r="A13" s="14">
        <v>-2</v>
      </c>
      <c r="B13" s="15">
        <v>33.799999999999997</v>
      </c>
      <c r="C13" s="16">
        <v>30.06</v>
      </c>
      <c r="D13" s="17">
        <v>25.77</v>
      </c>
      <c r="E13" s="15">
        <v>31.53</v>
      </c>
      <c r="F13" s="18">
        <v>27.58</v>
      </c>
      <c r="G13" s="19">
        <v>23.71</v>
      </c>
    </row>
    <row r="14" spans="1:7" x14ac:dyDescent="0.25">
      <c r="A14" s="14">
        <v>-1.8</v>
      </c>
      <c r="B14" s="15">
        <v>32.619999999999997</v>
      </c>
      <c r="C14" s="16">
        <v>29.03</v>
      </c>
      <c r="D14" s="17">
        <v>24.79</v>
      </c>
      <c r="E14" s="15">
        <v>30.44</v>
      </c>
      <c r="F14" s="18">
        <v>26.39</v>
      </c>
      <c r="G14" s="19">
        <v>22.63</v>
      </c>
    </row>
    <row r="15" spans="1:7" x14ac:dyDescent="0.25">
      <c r="A15" s="14">
        <v>-1.6</v>
      </c>
      <c r="B15" s="15">
        <v>31.44</v>
      </c>
      <c r="C15" s="16">
        <v>27.95</v>
      </c>
      <c r="D15" s="17">
        <v>23.74</v>
      </c>
      <c r="E15" s="15">
        <v>29.36</v>
      </c>
      <c r="F15" s="18">
        <v>25.21</v>
      </c>
      <c r="G15" s="19">
        <v>21.55</v>
      </c>
    </row>
    <row r="16" spans="1:7" x14ac:dyDescent="0.25">
      <c r="A16" s="14">
        <v>-1.4</v>
      </c>
      <c r="B16" s="15">
        <v>30.23</v>
      </c>
      <c r="C16" s="16">
        <v>26.83</v>
      </c>
      <c r="D16" s="17">
        <v>22.63</v>
      </c>
      <c r="E16" s="15">
        <v>28.24</v>
      </c>
      <c r="F16" s="18">
        <v>24.03</v>
      </c>
      <c r="G16" s="19">
        <v>20.47</v>
      </c>
    </row>
    <row r="17" spans="1:7" x14ac:dyDescent="0.25">
      <c r="A17" s="14">
        <v>-1.2</v>
      </c>
      <c r="B17" s="15">
        <v>28.98</v>
      </c>
      <c r="C17" s="16">
        <v>25.63</v>
      </c>
      <c r="D17" s="17">
        <v>21.45</v>
      </c>
      <c r="E17" s="15">
        <v>27.09</v>
      </c>
      <c r="F17" s="18">
        <v>22.85</v>
      </c>
      <c r="G17" s="19">
        <v>19.37</v>
      </c>
    </row>
    <row r="18" spans="1:7" x14ac:dyDescent="0.25">
      <c r="A18" s="14">
        <v>-1</v>
      </c>
      <c r="B18" s="15">
        <v>27.66</v>
      </c>
      <c r="C18" s="16">
        <v>24.36</v>
      </c>
      <c r="D18" s="17">
        <v>20.22</v>
      </c>
      <c r="E18" s="15">
        <v>25.87</v>
      </c>
      <c r="F18" s="18">
        <v>21.66</v>
      </c>
      <c r="G18" s="19">
        <v>18.25</v>
      </c>
    </row>
    <row r="19" spans="1:7" x14ac:dyDescent="0.25">
      <c r="A19" s="14">
        <v>-0.8</v>
      </c>
      <c r="B19" s="15">
        <v>26.24</v>
      </c>
      <c r="C19" s="16">
        <v>22.99</v>
      </c>
      <c r="D19" s="17">
        <v>18.96</v>
      </c>
      <c r="E19" s="15">
        <v>24.54</v>
      </c>
      <c r="F19" s="18">
        <v>20.440000000000001</v>
      </c>
      <c r="G19" s="19">
        <v>17.07</v>
      </c>
    </row>
    <row r="20" spans="1:7" x14ac:dyDescent="0.25">
      <c r="A20" s="14">
        <v>-0.6</v>
      </c>
      <c r="B20" s="15">
        <v>24.68</v>
      </c>
      <c r="C20" s="16">
        <v>21.51</v>
      </c>
      <c r="D20" s="17">
        <v>17.68</v>
      </c>
      <c r="E20" s="15">
        <v>23.09</v>
      </c>
      <c r="F20" s="18">
        <v>19.16</v>
      </c>
      <c r="G20" s="19">
        <v>15.81</v>
      </c>
    </row>
    <row r="21" spans="1:7" x14ac:dyDescent="0.25">
      <c r="A21" s="14">
        <v>-0.4</v>
      </c>
      <c r="B21" s="15">
        <v>22.96</v>
      </c>
      <c r="C21" s="16">
        <v>19.88</v>
      </c>
      <c r="D21" s="17">
        <v>16.309999999999999</v>
      </c>
      <c r="E21" s="15">
        <v>21.5</v>
      </c>
      <c r="F21" s="18">
        <v>17.8</v>
      </c>
      <c r="G21" s="19">
        <v>14.44</v>
      </c>
    </row>
    <row r="22" spans="1:7" x14ac:dyDescent="0.25">
      <c r="A22" s="14">
        <v>-0.2</v>
      </c>
      <c r="B22" s="15">
        <v>21.07</v>
      </c>
      <c r="C22" s="16">
        <v>18.09</v>
      </c>
      <c r="D22" s="17">
        <v>14.76</v>
      </c>
      <c r="E22" s="15">
        <v>19.77</v>
      </c>
      <c r="F22" s="18">
        <v>16.329999999999998</v>
      </c>
      <c r="G22" s="19">
        <v>12.94</v>
      </c>
    </row>
    <row r="23" spans="1:7" x14ac:dyDescent="0.25">
      <c r="A23" s="14">
        <v>0</v>
      </c>
      <c r="B23" s="15">
        <v>19.04</v>
      </c>
      <c r="C23" s="16">
        <v>16.16</v>
      </c>
      <c r="D23" s="17">
        <v>13.05</v>
      </c>
      <c r="E23" s="15">
        <v>17.940000000000001</v>
      </c>
      <c r="F23" s="18">
        <v>14.75</v>
      </c>
      <c r="G23" s="19">
        <v>11.36</v>
      </c>
    </row>
    <row r="24" spans="1:7" x14ac:dyDescent="0.25">
      <c r="A24" s="14">
        <v>0.2</v>
      </c>
      <c r="B24" s="15">
        <v>16.96</v>
      </c>
      <c r="C24" s="16">
        <v>14.21</v>
      </c>
      <c r="D24" s="17">
        <v>11.32</v>
      </c>
      <c r="E24" s="15">
        <v>16.09</v>
      </c>
      <c r="F24" s="18">
        <v>13.13</v>
      </c>
      <c r="G24" s="19">
        <v>9.81</v>
      </c>
    </row>
    <row r="25" spans="1:7" x14ac:dyDescent="0.25">
      <c r="A25" s="14">
        <v>0.4</v>
      </c>
      <c r="B25" s="15">
        <v>14.92</v>
      </c>
      <c r="C25" s="16">
        <v>12.35</v>
      </c>
      <c r="D25" s="17">
        <v>9.7100000000000009</v>
      </c>
      <c r="E25" s="15">
        <v>14.3</v>
      </c>
      <c r="F25" s="18">
        <v>11.56</v>
      </c>
      <c r="G25" s="19">
        <v>8.42</v>
      </c>
    </row>
    <row r="26" spans="1:7" x14ac:dyDescent="0.25">
      <c r="A26" s="14">
        <v>0.6</v>
      </c>
      <c r="B26" s="15">
        <v>13.01</v>
      </c>
      <c r="C26" s="16">
        <v>10.65</v>
      </c>
      <c r="D26" s="17">
        <v>8.27</v>
      </c>
      <c r="E26" s="15">
        <v>12.64</v>
      </c>
      <c r="F26" s="18">
        <v>10.11</v>
      </c>
      <c r="G26" s="19">
        <v>7.2</v>
      </c>
    </row>
    <row r="27" spans="1:7" x14ac:dyDescent="0.25">
      <c r="A27" s="14">
        <v>0.8</v>
      </c>
      <c r="B27" s="15">
        <v>11.26</v>
      </c>
      <c r="C27" s="16">
        <v>9.1199999999999992</v>
      </c>
      <c r="D27" s="17">
        <v>6.94</v>
      </c>
      <c r="E27" s="15">
        <v>11.11</v>
      </c>
      <c r="F27" s="18">
        <v>8.77</v>
      </c>
      <c r="G27" s="19">
        <v>6.12</v>
      </c>
    </row>
    <row r="28" spans="1:7" x14ac:dyDescent="0.25">
      <c r="A28" s="14">
        <v>1</v>
      </c>
      <c r="B28" s="15">
        <v>9.6999999999999993</v>
      </c>
      <c r="C28" s="16">
        <v>7.78</v>
      </c>
      <c r="D28" s="17">
        <v>5.7</v>
      </c>
      <c r="E28" s="15">
        <v>9.69</v>
      </c>
      <c r="F28" s="18">
        <v>7.52</v>
      </c>
      <c r="G28" s="19">
        <v>5.13</v>
      </c>
    </row>
    <row r="29" spans="1:7" x14ac:dyDescent="0.25">
      <c r="A29" s="14">
        <v>1.2</v>
      </c>
      <c r="B29" s="15">
        <v>8.33</v>
      </c>
      <c r="C29" s="16">
        <v>6.59</v>
      </c>
      <c r="D29" s="17">
        <v>4.54</v>
      </c>
      <c r="E29" s="15">
        <v>8.39</v>
      </c>
      <c r="F29" s="18">
        <v>6.37</v>
      </c>
      <c r="G29" s="19">
        <v>4.24</v>
      </c>
    </row>
    <row r="30" spans="1:7" x14ac:dyDescent="0.25">
      <c r="A30" s="14">
        <v>1.4</v>
      </c>
      <c r="B30" s="15">
        <v>7.11</v>
      </c>
      <c r="C30" s="16">
        <v>5.54</v>
      </c>
      <c r="D30" s="17">
        <v>3.51</v>
      </c>
      <c r="E30" s="15">
        <v>7.2</v>
      </c>
      <c r="F30" s="18">
        <v>5.33</v>
      </c>
      <c r="G30" s="19">
        <v>3.46</v>
      </c>
    </row>
    <row r="31" spans="1:7" x14ac:dyDescent="0.25">
      <c r="A31" s="14">
        <v>1.6</v>
      </c>
      <c r="B31" s="15">
        <v>6.04</v>
      </c>
      <c r="C31" s="16">
        <v>4.62</v>
      </c>
      <c r="D31" s="17">
        <v>2.64</v>
      </c>
      <c r="E31" s="15">
        <v>6.14</v>
      </c>
      <c r="F31" s="18">
        <v>4.42</v>
      </c>
      <c r="G31" s="19">
        <v>2.8</v>
      </c>
    </row>
    <row r="32" spans="1:7" x14ac:dyDescent="0.25">
      <c r="A32" s="14">
        <v>1.8</v>
      </c>
      <c r="B32" s="15">
        <v>5.0999999999999996</v>
      </c>
      <c r="C32" s="16">
        <v>3.8</v>
      </c>
      <c r="D32" s="17">
        <v>1.92</v>
      </c>
      <c r="E32" s="15">
        <v>5.19</v>
      </c>
      <c r="F32" s="18">
        <v>3.64</v>
      </c>
      <c r="G32" s="19">
        <v>2.25</v>
      </c>
    </row>
    <row r="33" spans="1:7" x14ac:dyDescent="0.25">
      <c r="A33" s="14">
        <v>2</v>
      </c>
      <c r="B33" s="15">
        <v>4.26</v>
      </c>
      <c r="C33" s="16">
        <v>3.09</v>
      </c>
      <c r="D33" s="17">
        <v>1.35</v>
      </c>
      <c r="E33" s="15">
        <v>4.3600000000000003</v>
      </c>
      <c r="F33" s="18">
        <v>2.99</v>
      </c>
      <c r="G33" s="19">
        <v>1.82</v>
      </c>
    </row>
    <row r="34" spans="1:7" x14ac:dyDescent="0.25">
      <c r="A34" s="14">
        <v>2.2000000000000002</v>
      </c>
      <c r="B34" s="15">
        <v>3.52</v>
      </c>
      <c r="C34" s="16">
        <v>2.48</v>
      </c>
      <c r="D34" s="17">
        <v>0.91</v>
      </c>
      <c r="E34" s="15">
        <v>3.63</v>
      </c>
      <c r="F34" s="18">
        <v>2.4500000000000002</v>
      </c>
      <c r="G34" s="19">
        <v>1.46</v>
      </c>
    </row>
    <row r="35" spans="1:7" x14ac:dyDescent="0.25">
      <c r="A35" s="14">
        <v>2.4</v>
      </c>
      <c r="B35" s="15">
        <v>2.86</v>
      </c>
      <c r="C35" s="16">
        <v>1.96</v>
      </c>
      <c r="D35" s="17">
        <v>0.57999999999999996</v>
      </c>
      <c r="E35" s="15">
        <v>2.99</v>
      </c>
      <c r="F35" s="18">
        <v>1.99</v>
      </c>
      <c r="G35" s="19">
        <v>1.18</v>
      </c>
    </row>
    <row r="36" spans="1:7" x14ac:dyDescent="0.25">
      <c r="A36" s="14">
        <v>2.6</v>
      </c>
      <c r="B36" s="15">
        <v>2.29</v>
      </c>
      <c r="C36" s="16">
        <v>1.52</v>
      </c>
      <c r="D36" s="17">
        <v>0.32</v>
      </c>
      <c r="E36" s="15">
        <v>2.42</v>
      </c>
      <c r="F36" s="18">
        <v>1.6</v>
      </c>
      <c r="G36" s="19">
        <v>0.94</v>
      </c>
    </row>
    <row r="37" spans="1:7" x14ac:dyDescent="0.25">
      <c r="A37" s="14">
        <v>2.8</v>
      </c>
      <c r="B37" s="15">
        <v>1.78</v>
      </c>
      <c r="C37" s="16">
        <v>1.1599999999999999</v>
      </c>
      <c r="D37" s="17">
        <v>0.13</v>
      </c>
      <c r="E37" s="15">
        <v>1.92</v>
      </c>
      <c r="F37" s="18">
        <v>1.26</v>
      </c>
      <c r="G37" s="19">
        <v>0.74</v>
      </c>
    </row>
    <row r="38" spans="1:7" x14ac:dyDescent="0.25">
      <c r="A38" s="14">
        <v>3</v>
      </c>
      <c r="B38" s="15">
        <v>1.34</v>
      </c>
      <c r="C38" s="16">
        <v>0.87</v>
      </c>
      <c r="D38" s="17">
        <v>0</v>
      </c>
      <c r="E38" s="15">
        <v>1.47</v>
      </c>
      <c r="F38" s="18">
        <v>0.96</v>
      </c>
      <c r="G38" s="19">
        <v>0.56999999999999995</v>
      </c>
    </row>
    <row r="39" spans="1:7" x14ac:dyDescent="0.25">
      <c r="A39" s="14">
        <v>3.2</v>
      </c>
      <c r="B39" s="15">
        <v>0.96</v>
      </c>
      <c r="C39" s="16">
        <v>0.63</v>
      </c>
      <c r="D39" s="17">
        <v>0</v>
      </c>
      <c r="E39" s="15">
        <v>1.07</v>
      </c>
      <c r="F39" s="18">
        <v>0.69</v>
      </c>
      <c r="G39" s="19">
        <v>0.41</v>
      </c>
    </row>
    <row r="40" spans="1:7" x14ac:dyDescent="0.25">
      <c r="A40" s="14">
        <v>3.4</v>
      </c>
      <c r="B40" s="15">
        <v>0.64</v>
      </c>
      <c r="C40" s="16">
        <v>0.43</v>
      </c>
      <c r="D40" s="17">
        <v>0</v>
      </c>
      <c r="E40" s="15">
        <v>0.72</v>
      </c>
      <c r="F40" s="18">
        <v>0.46</v>
      </c>
      <c r="G40" s="19">
        <v>0.28000000000000003</v>
      </c>
    </row>
    <row r="41" spans="1:7" x14ac:dyDescent="0.25">
      <c r="A41" s="14">
        <v>3.6</v>
      </c>
      <c r="B41" s="15">
        <v>0.37</v>
      </c>
      <c r="C41" s="16">
        <v>0.27</v>
      </c>
      <c r="D41" s="17">
        <v>0</v>
      </c>
      <c r="E41" s="15">
        <v>0.43</v>
      </c>
      <c r="F41" s="18">
        <v>0.26</v>
      </c>
      <c r="G41" s="19">
        <v>0.17</v>
      </c>
    </row>
    <row r="42" spans="1:7" x14ac:dyDescent="0.25">
      <c r="A42" s="14">
        <v>3.8</v>
      </c>
      <c r="B42" s="15">
        <v>0.16</v>
      </c>
      <c r="C42" s="16">
        <v>0.12</v>
      </c>
      <c r="D42" s="17">
        <v>0</v>
      </c>
      <c r="E42" s="15">
        <v>0.19</v>
      </c>
      <c r="F42" s="18">
        <v>0.11</v>
      </c>
      <c r="G42" s="19">
        <v>0.08</v>
      </c>
    </row>
    <row r="43" spans="1:7" x14ac:dyDescent="0.25">
      <c r="A43" s="20">
        <v>4</v>
      </c>
      <c r="B43" s="21">
        <v>0</v>
      </c>
      <c r="C43" s="22">
        <v>0</v>
      </c>
      <c r="D43" s="23">
        <v>0</v>
      </c>
      <c r="E43" s="21">
        <v>0</v>
      </c>
      <c r="F43" s="24">
        <v>0</v>
      </c>
      <c r="G43" s="25">
        <v>0</v>
      </c>
    </row>
  </sheetData>
  <mergeCells count="1">
    <mergeCell ref="A1:A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A0D17-FABF-45D5-8636-A63D4A12BF21}">
  <sheetPr codeName="Tabelle1"/>
  <dimension ref="B1:N37"/>
  <sheetViews>
    <sheetView showGridLines="0" tabSelected="1" zoomScaleNormal="100" workbookViewId="0">
      <selection activeCell="B3" sqref="B3"/>
    </sheetView>
  </sheetViews>
  <sheetFormatPr baseColWidth="10" defaultRowHeight="16.5" x14ac:dyDescent="0.3"/>
  <cols>
    <col min="1" max="1" width="11.42578125" style="2"/>
    <col min="2" max="2" width="17.42578125" style="2" customWidth="1"/>
    <col min="3" max="3" width="6" style="2" customWidth="1"/>
    <col min="4" max="4" width="19.7109375" style="2" customWidth="1"/>
    <col min="5" max="5" width="5.28515625" style="2" customWidth="1"/>
    <col min="6" max="6" width="18.7109375" style="2" customWidth="1"/>
    <col min="7" max="7" width="6.7109375" style="2" customWidth="1"/>
    <col min="8" max="8" width="5.28515625" style="2" customWidth="1"/>
    <col min="9" max="9" width="29.140625" style="2" customWidth="1"/>
    <col min="10" max="10" width="3.42578125" style="2" customWidth="1"/>
    <col min="11" max="14" width="27.7109375" style="2" customWidth="1"/>
    <col min="15" max="16384" width="11.42578125" style="2"/>
  </cols>
  <sheetData>
    <row r="1" spans="2:14" ht="73.5" customHeight="1" x14ac:dyDescent="0.3"/>
    <row r="2" spans="2:14" x14ac:dyDescent="0.3">
      <c r="B2" s="32" t="s">
        <v>66</v>
      </c>
      <c r="C2" s="32"/>
      <c r="D2" s="32" t="s">
        <v>26</v>
      </c>
      <c r="E2" s="32"/>
      <c r="F2" s="32" t="s">
        <v>52</v>
      </c>
      <c r="I2" s="26"/>
      <c r="K2" s="37" t="s">
        <v>54</v>
      </c>
      <c r="L2" s="37" t="s">
        <v>58</v>
      </c>
      <c r="M2" s="37" t="s">
        <v>59</v>
      </c>
      <c r="N2" s="37" t="s">
        <v>57</v>
      </c>
    </row>
    <row r="3" spans="2:14" ht="16.5" customHeight="1" x14ac:dyDescent="0.3">
      <c r="B3" s="28"/>
      <c r="C3" s="27"/>
      <c r="D3" s="30"/>
      <c r="E3" s="27"/>
      <c r="F3" s="30"/>
      <c r="I3" s="38" t="s">
        <v>69</v>
      </c>
      <c r="K3" s="44" t="str">
        <f>IF(OR(ISBLANK(B3),ISBLANK(B6),ISBLANK(B9),ISBLANK(D3),ISBLANK(D6),ISBLANK(D9)),"",Backend!Q2)</f>
        <v/>
      </c>
      <c r="L3" s="44" t="str">
        <f>IF(B9="weiblich",IF(OR(ISBLANK(B3),ISBLANK(B6),ISBLANK(D3),ISBLANK(B9)),"",Backend!T2),IF(OR(ISBLANK(B3),ISBLANK(B6),ISBLANK(D6),ISBLANK(B9)),"",Backend!T2))</f>
        <v/>
      </c>
      <c r="M3" s="44" t="str">
        <f>IF(B9="weiblich","",IF(OR(ISBLANK(B3),ISBLANK(B6),ISBLANK(D3),ISBLANK(B9)),"",Backend!V2))</f>
        <v/>
      </c>
      <c r="N3" s="44" t="str">
        <f>IF(OR(ISBLANK(B3),ISBLANK(B6),ISBLANK(B9),ISBLANK(D3),ISBLANK(D6),ISBLANK(D9),B9="weiblich"),"",Backend!Y2)</f>
        <v/>
      </c>
    </row>
    <row r="4" spans="2:14" x14ac:dyDescent="0.3">
      <c r="B4" s="27"/>
      <c r="C4" s="27"/>
      <c r="D4" s="27"/>
      <c r="E4" s="27"/>
      <c r="F4" s="27"/>
      <c r="I4" s="38" t="s">
        <v>70</v>
      </c>
      <c r="K4" s="44" t="str">
        <f>IF(OR(ISBLANK(B3),ISBLANK(B6),ISBLANK(B9),ISBLANK(D3),ISBLANK(D6),ISBLANK(D9)),"",Backend!R2)</f>
        <v/>
      </c>
      <c r="L4" s="44" t="str">
        <f>IF(B9="weiblich",IF(OR(ISBLANK(B3),ISBLANK(B6),ISBLANK(D3),ISBLANK(B9)),"",Backend!U2),IF(OR(ISBLANK(B9),ISBLANK(B3),ISBLANK(B6),ISBLANK(D6)),"",Backend!U2))</f>
        <v/>
      </c>
      <c r="M4" s="44" t="str">
        <f>IF(B9="weiblich","",IF(OR(ISBLANK(B3),ISBLANK(B6),ISBLANK(D3),ISBLANK(B9)),"",Backend!W2))</f>
        <v/>
      </c>
      <c r="N4" s="44" t="str">
        <f>IF(OR(ISBLANK(B3),ISBLANK(B6),ISBLANK(B9),ISBLANK(D3),ISBLANK(D6),ISBLANK(D9),B9="weiblich"),"",Backend!Z2)</f>
        <v/>
      </c>
    </row>
    <row r="5" spans="2:14" x14ac:dyDescent="0.3">
      <c r="B5" s="32" t="s">
        <v>0</v>
      </c>
      <c r="C5" s="32"/>
      <c r="D5" s="32" t="s">
        <v>27</v>
      </c>
      <c r="E5" s="32"/>
      <c r="F5" s="32" t="s">
        <v>53</v>
      </c>
      <c r="I5" s="38" t="s">
        <v>49</v>
      </c>
      <c r="K5" s="27" t="str">
        <f>IF(OR(ISBLANK(B3),ISBLANK(B6),ISBLANK(B9),ISBLANK(D3),ISBLANK(D6),ISBLANK(D9)),"",IF(B9="weiblich",IF(OR(ISBLANK(D16),ISBLANK(D17)),"",IF(K4&lt;(D16-D17),"früh entwickelt",IF(K4&gt;(D16+D17),"spät entwickelt","normal entwickelt"))),IF(OR(ISBLANK(E16),ISBLANK(E17)),"",IF(K4&lt;(E16-E17),"früh entwickelt",IF(K4&gt;(E16+E17),"spät entwickelt","normal entwickelt")))))</f>
        <v/>
      </c>
      <c r="L5" s="27" t="str" cm="1">
        <f t="array" ref="L5">IF(OR(ISBLANK(B3),ISBLANK(B6),ISBLANK(B9)),"",_xlfn.IFS(B9="weiblich",IF(OR(ISBLANK(D16),ISBLANK(D17),ISBLANK(D3)),"",IF(L4&lt;(D16-D17),"früh entwickelt",IF(L4&gt;(D16+D17),"spät entwickelt","normal entwickelt"))),B9="männlich",IF(OR(ISBLANK(E16),ISBLANK(E17),ISBLANK(D6)),"",IF(L4&lt;(E16-E17),"früh entwickelt",IF(L4&gt;(E16+E17),"spät entwickelt","normal entwickelt")))))</f>
        <v/>
      </c>
      <c r="M5" s="27" t="str" cm="1">
        <f t="array" ref="M5">IF(OR(ISBLANK(B3),ISBLANK(B6),ISBLANK(B9)),"",_xlfn.IFS(B9="weiblich","",B9="männlich",IF(OR(ISBLANK(E16),ISBLANK(E17),ISBLANK(D3)),"",IF(M4&lt;(E16-E17),"früh entwickelt",IF(M4&gt;(E16+E17),"spät entwickelt","normal entwickelt")))))</f>
        <v/>
      </c>
      <c r="N5" s="27" t="str">
        <f>IF(OR(ISBLANK(B3),ISBLANK(B6),ISBLANK(B9),ISBLANK(D3),ISBLANK(D6),ISBLANK(D9)),"",IF(B9="weiblich","",IF(OR(ISBLANK(E16),ISBLANK(E17)),"",IF(N4&lt;(E16-E17),"früh entwickelt",IF(N4&gt;(E16+E17),"spät entwickelt","normal entwickelt")))))</f>
        <v/>
      </c>
    </row>
    <row r="6" spans="2:14" x14ac:dyDescent="0.3">
      <c r="B6" s="28"/>
      <c r="C6" s="27"/>
      <c r="D6" s="30"/>
      <c r="E6" s="27"/>
      <c r="F6" s="30"/>
      <c r="I6" s="38" t="s">
        <v>68</v>
      </c>
      <c r="K6" s="43" t="str" cm="1">
        <f t="array" ref="K6">_xlfn.IFS(ISBLANK(B9),"",B9="weiblich",IF(OR(ISBLANK(B3),ISBLANK(B6),ISBLANK(D3),ISBLANK(D6),ISBLANK(D9),ISBLANK(D16)),"",D16+K3),B9="männlich",IF(OR(ISBLANK(B3),ISBLANK(B6),ISBLANK(E16),ISBLANK(D3),ISBLANK(D6),ISBLANK(D9)),"",E16+K3))</f>
        <v/>
      </c>
      <c r="L6" s="43" t="str" cm="1">
        <f t="array" ref="L6">_xlfn.IFS(ISBLANK(B9),"",B9="weiblich",IF(OR(ISBLANK(B3),ISBLANK(B6),ISBLANK(D3),ISBLANK(D16)),"",D16+L3),B9="männlich",IF(OR(ISBLANK(B3),ISBLANK(B6),ISBLANK(E16),ISBLANK(D6)),"",E16+L3))</f>
        <v/>
      </c>
      <c r="M6" s="43" t="str" cm="1">
        <f t="array" ref="M6">_xlfn.IFS(ISBLANK(B9),"",B9="weiblich","",B9="männlich",IF(OR(ISBLANK(B3),ISBLANK(B6),ISBLANK(E16),ISBLANK(D3)),"",E16+M3))</f>
        <v/>
      </c>
      <c r="N6" s="43" t="str" cm="1">
        <f t="array" ref="N6">_xlfn.IFS(ISBLANK(B9),"",B9="weiblich","",B9="männlich",IF(OR(ISBLANK(B3),ISBLANK(B6),ISBLANK(E16),ISBLANK(D6),ISBLANK(D9)),"",E16+N3))</f>
        <v/>
      </c>
    </row>
    <row r="7" spans="2:14" x14ac:dyDescent="0.3">
      <c r="B7" s="27"/>
      <c r="C7" s="27"/>
      <c r="D7" s="27"/>
      <c r="E7" s="27"/>
      <c r="F7" s="27"/>
    </row>
    <row r="8" spans="2:14" x14ac:dyDescent="0.3">
      <c r="B8" s="32" t="s">
        <v>8</v>
      </c>
      <c r="C8" s="27"/>
      <c r="D8" s="32" t="s">
        <v>25</v>
      </c>
      <c r="E8" s="27"/>
      <c r="F8" s="27"/>
      <c r="I8" s="39" t="s">
        <v>76</v>
      </c>
      <c r="J8" s="39"/>
      <c r="K8" s="44" t="str">
        <f>IF(OR(ISBLANK(B3),ISBLANK(B6)),"",Backend!I2)</f>
        <v/>
      </c>
    </row>
    <row r="9" spans="2:14" x14ac:dyDescent="0.3">
      <c r="B9" s="29" t="s">
        <v>9</v>
      </c>
      <c r="C9" s="27"/>
      <c r="D9" s="31"/>
      <c r="E9" s="27"/>
      <c r="F9" s="27"/>
      <c r="N9" s="39"/>
    </row>
    <row r="10" spans="2:14" ht="16.5" customHeight="1" x14ac:dyDescent="0.3">
      <c r="B10" s="27"/>
      <c r="C10" s="27"/>
      <c r="E10" s="27"/>
      <c r="F10" s="27"/>
      <c r="K10" s="46" t="s">
        <v>60</v>
      </c>
      <c r="L10" s="46" t="s">
        <v>61</v>
      </c>
      <c r="N10" s="40"/>
    </row>
    <row r="11" spans="2:14" ht="16.5" customHeight="1" x14ac:dyDescent="0.3">
      <c r="B11" s="27"/>
      <c r="C11" s="27"/>
      <c r="E11" s="27"/>
      <c r="F11" s="27"/>
      <c r="I11" s="54" t="s">
        <v>40</v>
      </c>
      <c r="J11" s="46"/>
      <c r="K11" s="35" t="str">
        <f>IF(OR(ISBLANK(B3),ISBLANK(B6),ISBLANK(B9),ISBLANK(D3),ISBLANK(F3),ISBLANK(D9),ISBLANK(F6)),"",CONVERT(Backend!AD2,"in","cm"))</f>
        <v/>
      </c>
      <c r="L11" s="56" t="str" cm="1">
        <f t="array" ref="L11">IF(OR(ISBLANK(B3),ISBLANK(B6),ISBLANK(B9),ISBLANK(D3),ISBLANK(D6),ISBLANK(D9)),"",_xlfn.IFS(B9="männlich",IF(ISBLANK(E16),"",_xlfn.IFS(K5="früh entwickelt",D3+_xlfn.XLOOKUP(Backend!S2,'Sherar et al. (2005)'!A3:A43,'Sherar et al. (2005)'!B3:B43,"",0),K5="normal entwickelt",D3+_xlfn.XLOOKUP(Backend!S2,'Sherar et al. (2005)'!A3:A43,'Sherar et al. (2005)'!C3:C43,"",0),K5="spät entwickelt",D3+_xlfn.XLOOKUP(Backend!S2,'Sherar et al. (2005)'!A3:A43,'Sherar et al. (2005)'!D3:D43,"",0))),B9="weiblich",IF(ISBLANK(D16),"",_xlfn.IFS(K5="früh entwickelt",D3+_xlfn.XLOOKUP(Backend!S2,'Sherar et al. (2005)'!A3:A43,'Sherar et al. (2005)'!E3:E43,"",0),K5="normal entwickelt",D3+_xlfn.XLOOKUP(Backend!S2,'Sherar et al. (2005)'!A3:A43,'Sherar et al. (2005)'!F3:F43,"",0),K5="spät entwickelt",D3+_xlfn.XLOOKUP(Backend!S2,'Sherar et al. (2005)'!A3:A43,'Sherar et al. (2005)'!G3:G43,"",0)))))</f>
        <v/>
      </c>
      <c r="N11" s="36"/>
    </row>
    <row r="12" spans="2:14" ht="16.5" customHeight="1" x14ac:dyDescent="0.3">
      <c r="B12" s="27"/>
      <c r="C12" s="27"/>
      <c r="E12" s="27"/>
      <c r="F12" s="27"/>
      <c r="I12" s="54"/>
      <c r="J12" s="46"/>
      <c r="K12" s="26" t="str">
        <f>IF(OR(ISBLANK(B3),ISBLANK(B6),ISBLANK(B9),ISBLANK(D3),ISBLANK(F3),ISBLANK(D9),ISBLANK(F6)),"","90% KI ["&amp;IF(B9="männlich",ROUND(K11-CONVERT(2.101,"in","cm"),1),ROUND(K11-CONVERT(1.675,"in","cm"),1))&amp;", "&amp;IF(B9="männlich",ROUND(K11+CONVERT(2.101,"in","cm"),1),ROUND(K11+CONVERT(1.675,"in","cm"),1))&amp;"]")</f>
        <v/>
      </c>
      <c r="L12" s="56"/>
      <c r="N12" s="36"/>
    </row>
    <row r="13" spans="2:14" ht="16.5" customHeight="1" x14ac:dyDescent="0.3">
      <c r="I13" s="54" t="s">
        <v>51</v>
      </c>
      <c r="J13" s="46"/>
      <c r="K13" s="55" t="str">
        <f>IF(OR(ISBLANK(B3),ISBLANK(B6),ISBLANK(B9),ISBLANK(D3),ISBLANK(F3),ISBLANK(D9),ISBLANK(F6)),"",100*D3/K11)</f>
        <v/>
      </c>
      <c r="L13" s="55" t="str" cm="1">
        <f t="array" ref="L13">IF(OR(ISBLANK(B3),ISBLANK(B6),ISBLANK(B9),ISBLANK(D3),ISBLANK(D6),ISBLANK(D9)),"",_xlfn.IFS(B9="männlich",IF(ISBLANK(E16),"",100*D3/L11),B9="weiblich",IF(ISBLANK(D16),"",100*D3/L11)))</f>
        <v/>
      </c>
      <c r="N13" s="34"/>
    </row>
    <row r="14" spans="2:14" ht="16.5" customHeight="1" x14ac:dyDescent="0.3">
      <c r="I14" s="54"/>
      <c r="K14" s="55"/>
      <c r="L14" s="55"/>
      <c r="N14" s="34"/>
    </row>
    <row r="15" spans="2:14" x14ac:dyDescent="0.3">
      <c r="D15" s="26" t="s">
        <v>9</v>
      </c>
      <c r="E15" s="50" t="s">
        <v>10</v>
      </c>
      <c r="F15" s="50"/>
      <c r="M15" s="34"/>
    </row>
    <row r="16" spans="2:14" ht="16.5" customHeight="1" x14ac:dyDescent="0.3">
      <c r="B16" s="52" t="s">
        <v>55</v>
      </c>
      <c r="C16" s="52"/>
      <c r="D16" s="33">
        <v>12</v>
      </c>
      <c r="E16" s="51">
        <v>14.07</v>
      </c>
      <c r="F16" s="51"/>
      <c r="I16" s="53" t="s">
        <v>71</v>
      </c>
      <c r="J16" s="53"/>
      <c r="K16" s="53"/>
      <c r="L16" s="53"/>
      <c r="M16" s="53"/>
      <c r="N16" s="53"/>
    </row>
    <row r="17" spans="2:14" ht="16.5" customHeight="1" x14ac:dyDescent="0.3">
      <c r="B17" s="52" t="s">
        <v>56</v>
      </c>
      <c r="C17" s="52"/>
      <c r="D17" s="33">
        <v>1</v>
      </c>
      <c r="E17" s="51">
        <v>1</v>
      </c>
      <c r="F17" s="51"/>
      <c r="I17" s="53"/>
      <c r="J17" s="53"/>
      <c r="K17" s="53"/>
      <c r="L17" s="53"/>
      <c r="M17" s="53"/>
      <c r="N17" s="53"/>
    </row>
    <row r="24" spans="2:14" x14ac:dyDescent="0.3">
      <c r="B24" s="2" t="s">
        <v>67</v>
      </c>
      <c r="I24" s="49" t="s">
        <v>77</v>
      </c>
      <c r="J24" s="49"/>
      <c r="K24" s="49"/>
      <c r="L24" s="49"/>
      <c r="M24" s="49"/>
      <c r="N24" s="49"/>
    </row>
    <row r="25" spans="2:14" x14ac:dyDescent="0.3">
      <c r="B25" s="2" t="s">
        <v>62</v>
      </c>
      <c r="I25" s="49"/>
      <c r="J25" s="49"/>
      <c r="K25" s="49"/>
      <c r="L25" s="49"/>
      <c r="M25" s="49"/>
      <c r="N25" s="49"/>
    </row>
    <row r="26" spans="2:14" x14ac:dyDescent="0.3">
      <c r="B26" s="2" t="s">
        <v>63</v>
      </c>
      <c r="I26" s="49" t="s">
        <v>72</v>
      </c>
      <c r="J26" s="49"/>
      <c r="K26" s="49"/>
      <c r="L26" s="49"/>
      <c r="M26" s="49"/>
      <c r="N26" s="49"/>
    </row>
    <row r="27" spans="2:14" x14ac:dyDescent="0.3">
      <c r="B27" s="2" t="s">
        <v>64</v>
      </c>
      <c r="I27" s="49"/>
      <c r="J27" s="49"/>
      <c r="K27" s="49"/>
      <c r="L27" s="49"/>
      <c r="M27" s="49"/>
      <c r="N27" s="49"/>
    </row>
    <row r="28" spans="2:14" x14ac:dyDescent="0.3">
      <c r="B28" s="2" t="s">
        <v>65</v>
      </c>
      <c r="I28" s="45" t="s">
        <v>73</v>
      </c>
      <c r="J28" s="41"/>
      <c r="K28" s="41"/>
      <c r="L28" s="41"/>
      <c r="M28" s="41"/>
      <c r="N28" s="41"/>
    </row>
    <row r="29" spans="2:14" x14ac:dyDescent="0.3">
      <c r="I29" s="49" t="s">
        <v>74</v>
      </c>
      <c r="J29" s="49"/>
      <c r="K29" s="49"/>
      <c r="L29" s="49"/>
      <c r="M29" s="49"/>
      <c r="N29" s="49"/>
    </row>
    <row r="30" spans="2:14" x14ac:dyDescent="0.3">
      <c r="I30" s="49"/>
      <c r="J30" s="49"/>
      <c r="K30" s="49"/>
      <c r="L30" s="49"/>
      <c r="M30" s="49"/>
      <c r="N30" s="49"/>
    </row>
    <row r="31" spans="2:14" x14ac:dyDescent="0.3">
      <c r="I31" s="49" t="s">
        <v>78</v>
      </c>
      <c r="J31" s="49"/>
      <c r="K31" s="49"/>
      <c r="L31" s="49"/>
      <c r="M31" s="49"/>
      <c r="N31" s="49"/>
    </row>
    <row r="32" spans="2:14" x14ac:dyDescent="0.3">
      <c r="I32" s="49"/>
      <c r="J32" s="49"/>
      <c r="K32" s="49"/>
      <c r="L32" s="49"/>
      <c r="M32" s="49"/>
      <c r="N32" s="49"/>
    </row>
    <row r="33" spans="9:14" x14ac:dyDescent="0.3">
      <c r="I33" s="49" t="s">
        <v>75</v>
      </c>
      <c r="J33" s="49"/>
      <c r="K33" s="49"/>
      <c r="L33" s="49"/>
      <c r="M33" s="49"/>
      <c r="N33" s="49"/>
    </row>
    <row r="34" spans="9:14" x14ac:dyDescent="0.3">
      <c r="I34" s="49"/>
      <c r="J34" s="49"/>
      <c r="K34" s="49"/>
      <c r="L34" s="49"/>
      <c r="M34" s="49"/>
      <c r="N34" s="49"/>
    </row>
    <row r="37" spans="9:14" x14ac:dyDescent="0.3">
      <c r="N37" s="42" t="s">
        <v>79</v>
      </c>
    </row>
  </sheetData>
  <sheetProtection algorithmName="SHA-512" hashValue="deNP4P3UWWFBLKkstMnKprQn36Dl5ZyWuerjTUt4HKe2fRPxE5eKEdE8XPVlm4kpUV8ubOda4uXOlEqZf3rjDA==" saltValue="8F5z+dhhk5nl+bvPO5TW0w==" spinCount="100000" sheet="1" objects="1" scenarios="1" selectLockedCells="1"/>
  <mergeCells count="16">
    <mergeCell ref="I16:N17"/>
    <mergeCell ref="I11:I12"/>
    <mergeCell ref="I13:I14"/>
    <mergeCell ref="K13:K14"/>
    <mergeCell ref="L11:L12"/>
    <mergeCell ref="L13:L14"/>
    <mergeCell ref="E15:F15"/>
    <mergeCell ref="E16:F16"/>
    <mergeCell ref="E17:F17"/>
    <mergeCell ref="B16:C16"/>
    <mergeCell ref="B17:C17"/>
    <mergeCell ref="I31:N32"/>
    <mergeCell ref="I33:N34"/>
    <mergeCell ref="I24:N25"/>
    <mergeCell ref="I26:N27"/>
    <mergeCell ref="I29:N30"/>
  </mergeCells>
  <hyperlinks>
    <hyperlink ref="I24:N25" r:id="rId1" display="Fransen, J., Bush, S., Woodcock, S., Novak, A., Deprez, D., Baxter-Jones, A. D. G., Vaeyens, R., &amp; Lenoir, M. (2018). Improving the Prediction of Maturity From Anthropometric Variables Using a Maturity Ratio. Pediatric Exercise Science, 30(2), 296–307. https://doi.org/10.1123/pes.2017-0009" xr:uid="{6C1D5BA2-7BD4-47D3-B84B-FA26B105E5CA}"/>
    <hyperlink ref="I26:N27" r:id="rId2" display="Khamis, H. J., &amp; Roche, A. F. (1994). Predicting adult stature without using skeletal age: The Khamis-Roche method. Pediatrics, 94(4), 504–507. https://doi.org/10.1542/peds.94.4.504" xr:uid="{838AA6D4-9A54-47C1-9B2E-039D2146E4D0}"/>
    <hyperlink ref="I28" r:id="rId3" xr:uid="{552A1C77-EE70-4A87-A57E-672B4B936DB7}"/>
    <hyperlink ref="I29:N30" r:id="rId4" display="Mirwald, R. L., Baxter-Jones, A. D. G., Bailey, D. A., &amp; Beunen, G. P. (2002). An assessment of maturity from anthropometric measurements. Medicine and Science in Sports and Exercise, 34(4), 689–694. https://doi.org/10.1097/00005768-200204000-00020" xr:uid="{1F8CD9C1-3655-45B1-A009-9316965E7920}"/>
    <hyperlink ref="I31:N32" r:id="rId5" display="Moore, S. A., McKay, H. A., MacDonald, H., Nettlefold, L., Baxter-Jones, A. D. G., Cameron, N., &amp; Brasher, P. M. A. (2015). Enhancing a Somatic Maturity Prediction Model. Medicine and Science in Sports and Exercise, 47(8), 1755–1764. https://doi.org/10.1249/MSS.0000000000000588" xr:uid="{6DCCC099-4B41-406C-AFE1-9D669175A1DA}"/>
    <hyperlink ref="I33:N34" r:id="rId6" display="Sherar, L. B., Mirwald, R. L., Baxter-Jones, A. D. G., &amp; Thomis, M. (2005). Prediction of adult height using maturity-based cumulative height velocity curves. The Journal of Pediatrics, 147(4), 508–514. https://doi.org/10.1016/j.jpeds.2005.04.041" xr:uid="{3B144BD4-E9C3-4C41-9E50-92A27519AD5D}"/>
  </hyperlinks>
  <pageMargins left="0.7" right="0.7" top="0.78740157499999996" bottom="0.78740157499999996" header="0.3" footer="0.3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C36F5CFF-B91F-4402-95DB-5E0E41E17D8D}">
          <x14:formula1>
            <xm:f>Backend!$A$5:$A$6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Backend</vt:lpstr>
      <vt:lpstr>Khamis &amp; Roche (1995)</vt:lpstr>
      <vt:lpstr>Sherar et al. (2005)</vt:lpstr>
      <vt:lpstr>Rechner</vt:lpstr>
    </vt:vector>
  </TitlesOfParts>
  <Company>Uni Oldenburg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Lutz Thieschäfer</dc:creator>
  <cp:lastModifiedBy>Lutz Thieschäfer</cp:lastModifiedBy>
  <dcterms:created xsi:type="dcterms:W3CDTF">2025-03-04T11:33:34Z</dcterms:created>
  <dcterms:modified xsi:type="dcterms:W3CDTF">2025-03-07T11:58:03Z</dcterms:modified>
</cp:coreProperties>
</file>